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sideoinc-my.sharepoint.com/personal/jason_willey_resideo_com/Documents/Investor Relations/Earnings/22 Q3/"/>
    </mc:Choice>
  </mc:AlternateContent>
  <xr:revisionPtr revIDLastSave="0" documentId="8_{88168475-D72B-477D-BB5D-319791821290}" xr6:coauthVersionLast="47" xr6:coauthVersionMax="47" xr10:uidLastSave="{00000000-0000-0000-0000-000000000000}"/>
  <bookViews>
    <workbookView xWindow="-110" yWindow="-110" windowWidth="19420" windowHeight="10420" tabRatio="701" xr2:uid="{00000000-000D-0000-FFFF-FFFF00000000}"/>
  </bookViews>
  <sheets>
    <sheet name="About" sheetId="33" r:id="rId1"/>
    <sheet name="Income Statement" sheetId="1" r:id="rId2"/>
    <sheet name="Balance Sheet" sheetId="28" r:id="rId3"/>
    <sheet name="Cash Flows YTD" sheetId="27" r:id="rId4"/>
    <sheet name="Cash Flows QTD" sheetId="32" r:id="rId5"/>
    <sheet name="Key Metrics" sheetId="29" r:id="rId6"/>
  </sheets>
  <definedNames>
    <definedName name="five" hidden="1">{"Landscape Detail CF",#N/A,FALSE,"Cash Flow for the 3 m-e 8.31";"Portrait Detail CF",#N/A,FALSE,"Cash Flow for the 3 m-e 8.31"}</definedName>
    <definedName name="four" hidden="1">{"Landscape Detail CF",#N/A,FALSE,"Cash Flow for the 3 m-e 8.31";"Portrait Detail CF",#N/A,FALSE,"Cash Flow for the 3 m-e 8.31"}</definedName>
    <definedName name="_xlnm.Print_Area" localSheetId="0">About!$A$1:$N$21</definedName>
    <definedName name="_xlnm.Print_Area" localSheetId="2">'Balance Sheet'!$A$1:$V$46</definedName>
    <definedName name="_xlnm.Print_Area" localSheetId="4">'Cash Flows QTD'!$A$1:$V$44</definedName>
    <definedName name="_xlnm.Print_Area" localSheetId="3">'Cash Flows YTD'!$A$1:$V$48</definedName>
    <definedName name="_xlnm.Print_Area" localSheetId="1">'Income Statement'!$A$1:$V$24</definedName>
    <definedName name="_xlnm.Print_Area" localSheetId="5">'Key Metrics'!$A$1:$V$61</definedName>
    <definedName name="three" hidden="1">{"Landscape Detail CF",#N/A,FALSE,"Cash Flow for the 3 m-e 8.31";"Portrait Detail CF",#N/A,FALSE,"Cash Flow for the 3 m-e 8.31"}</definedName>
    <definedName name="two" hidden="1">{"Landscape Detail CF",#N/A,FALSE,"Cash Flow for the 3 m-e 8.31";"Portrait Detail CF",#N/A,FALSE,"Cash Flow for the 3 m-e 8.31"}</definedName>
    <definedName name="wrn.Three._.Months._.Cash._.Flow." hidden="1">{"Landscape Detail CF",#N/A,FALSE,"Cash Flow for the 3 m-e 8.31";"Portrait Detail CF",#N/A,FALSE,"Cash Flow for the 3 m-e 8.31"}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38" i="28" l="1"/>
  <c r="V29" i="28"/>
  <c r="V24" i="28"/>
  <c r="V11" i="28"/>
  <c r="T17" i="28"/>
  <c r="V37" i="28"/>
  <c r="V36" i="28"/>
  <c r="V35" i="28"/>
  <c r="V34" i="28"/>
  <c r="V33" i="28"/>
  <c r="V28" i="28"/>
  <c r="V27" i="28"/>
  <c r="V26" i="28"/>
  <c r="V23" i="28"/>
  <c r="V22" i="28"/>
  <c r="V21" i="28"/>
  <c r="V16" i="28"/>
  <c r="V15" i="28"/>
  <c r="V14" i="28"/>
  <c r="V13" i="28"/>
  <c r="V17" i="28"/>
  <c r="V10" i="28"/>
  <c r="V9" i="28"/>
  <c r="V8" i="28"/>
  <c r="V7" i="28"/>
  <c r="V40" i="27" l="1"/>
  <c r="V31" i="27"/>
  <c r="V32" i="27"/>
  <c r="V33" i="27"/>
  <c r="V34" i="27"/>
  <c r="V35" i="27"/>
  <c r="V36" i="27"/>
  <c r="V37" i="27"/>
  <c r="V30" i="27"/>
  <c r="V26" i="27"/>
  <c r="V25" i="27"/>
  <c r="V24" i="27"/>
  <c r="V9" i="27"/>
  <c r="V10" i="27"/>
  <c r="V11" i="27"/>
  <c r="V12" i="27"/>
  <c r="V14" i="27"/>
  <c r="V15" i="27"/>
  <c r="V16" i="27"/>
  <c r="V17" i="27"/>
  <c r="V18" i="27"/>
  <c r="V19" i="27"/>
  <c r="V20" i="27"/>
  <c r="V8" i="27"/>
  <c r="P35" i="32"/>
  <c r="P36" i="32"/>
  <c r="P37" i="32"/>
  <c r="T19" i="32"/>
  <c r="T20" i="27"/>
  <c r="B49" i="32" l="1"/>
  <c r="T40" i="32"/>
  <c r="T37" i="32"/>
  <c r="T36" i="32"/>
  <c r="T35" i="32"/>
  <c r="T34" i="32"/>
  <c r="T33" i="32"/>
  <c r="T32" i="32"/>
  <c r="T31" i="32"/>
  <c r="T30" i="32"/>
  <c r="T27" i="32"/>
  <c r="T26" i="32"/>
  <c r="T25" i="32"/>
  <c r="T24" i="32"/>
  <c r="T9" i="32"/>
  <c r="T10" i="32"/>
  <c r="T11" i="32"/>
  <c r="T12" i="32"/>
  <c r="T13" i="32"/>
  <c r="T14" i="32"/>
  <c r="T15" i="32"/>
  <c r="T16" i="32"/>
  <c r="T17" i="32"/>
  <c r="T18" i="32"/>
  <c r="T20" i="32"/>
  <c r="T8" i="32"/>
  <c r="T4" i="32"/>
  <c r="T4" i="27"/>
  <c r="T4" i="28"/>
  <c r="R10" i="28"/>
  <c r="S10" i="28"/>
  <c r="P10" i="28"/>
  <c r="O10" i="28"/>
  <c r="N10" i="28"/>
  <c r="M10" i="28"/>
  <c r="K10" i="28"/>
  <c r="J10" i="28"/>
  <c r="I10" i="28"/>
  <c r="H10" i="28"/>
  <c r="F10" i="28"/>
  <c r="E10" i="28"/>
  <c r="E7" i="28"/>
  <c r="D10" i="28"/>
  <c r="F7" i="28"/>
  <c r="H7" i="28"/>
  <c r="I7" i="28"/>
  <c r="J7" i="28"/>
  <c r="K7" i="28"/>
  <c r="M7" i="28"/>
  <c r="N7" i="28"/>
  <c r="O7" i="28"/>
  <c r="P7" i="28"/>
  <c r="T38" i="32" l="1"/>
  <c r="D18" i="27"/>
  <c r="D12" i="27"/>
  <c r="E12" i="27"/>
  <c r="E18" i="27"/>
  <c r="F18" i="27"/>
  <c r="F12" i="27"/>
  <c r="S56" i="32" l="1"/>
  <c r="R56" i="32"/>
  <c r="R55" i="32"/>
  <c r="S54" i="32"/>
  <c r="R54" i="32"/>
  <c r="Q56" i="32"/>
  <c r="Q54" i="32"/>
  <c r="O54" i="32"/>
  <c r="P54" i="32"/>
  <c r="O55" i="32"/>
  <c r="O56" i="32"/>
  <c r="P56" i="32"/>
  <c r="S40" i="32" l="1"/>
  <c r="S37" i="32"/>
  <c r="S36" i="32"/>
  <c r="S35" i="32"/>
  <c r="S34" i="32"/>
  <c r="S33" i="32"/>
  <c r="S32" i="32"/>
  <c r="S31" i="32"/>
  <c r="S30" i="32"/>
  <c r="S26" i="32"/>
  <c r="S25" i="32"/>
  <c r="S24" i="32"/>
  <c r="S20" i="32"/>
  <c r="S19" i="32"/>
  <c r="S18" i="32"/>
  <c r="S17" i="32"/>
  <c r="S16" i="32"/>
  <c r="S15" i="32"/>
  <c r="S14" i="32"/>
  <c r="S12" i="32"/>
  <c r="S11" i="32"/>
  <c r="S10" i="32"/>
  <c r="S9" i="32"/>
  <c r="S8" i="32"/>
  <c r="M12" i="27"/>
  <c r="N12" i="27"/>
  <c r="O12" i="27"/>
  <c r="P12" i="27"/>
  <c r="R12" i="27"/>
  <c r="S38" i="32" l="1"/>
  <c r="S27" i="32"/>
  <c r="M18" i="27"/>
  <c r="N18" i="27" l="1"/>
  <c r="R16" i="28"/>
  <c r="P16" i="28"/>
  <c r="O16" i="28"/>
  <c r="N16" i="28"/>
  <c r="M16" i="28"/>
  <c r="K16" i="28"/>
  <c r="J16" i="28"/>
  <c r="I16" i="28"/>
  <c r="H16" i="28"/>
  <c r="F16" i="28"/>
  <c r="D16" i="28"/>
  <c r="E16" i="28"/>
  <c r="C16" i="28"/>
  <c r="B16" i="28"/>
  <c r="Q15" i="28"/>
  <c r="L15" i="28"/>
  <c r="G15" i="28"/>
  <c r="V38" i="27" l="1"/>
  <c r="V27" i="27" l="1"/>
  <c r="V40" i="28"/>
  <c r="R40" i="32" l="1"/>
  <c r="V40" i="32" s="1"/>
  <c r="R37" i="32"/>
  <c r="V37" i="32" s="1"/>
  <c r="R36" i="32"/>
  <c r="V36" i="32" s="1"/>
  <c r="R35" i="32"/>
  <c r="V35" i="32" s="1"/>
  <c r="R34" i="32"/>
  <c r="V34" i="32" s="1"/>
  <c r="R33" i="32"/>
  <c r="V33" i="32" s="1"/>
  <c r="R32" i="32"/>
  <c r="V32" i="32" s="1"/>
  <c r="R31" i="32"/>
  <c r="R30" i="32"/>
  <c r="V30" i="32" s="1"/>
  <c r="R26" i="32"/>
  <c r="V26" i="32" s="1"/>
  <c r="R25" i="32"/>
  <c r="V25" i="32" s="1"/>
  <c r="R24" i="32"/>
  <c r="R20" i="32"/>
  <c r="V20" i="32" s="1"/>
  <c r="R19" i="32"/>
  <c r="V19" i="32" s="1"/>
  <c r="R18" i="32"/>
  <c r="V18" i="32" s="1"/>
  <c r="R17" i="32"/>
  <c r="V17" i="32" s="1"/>
  <c r="R16" i="32"/>
  <c r="V16" i="32" s="1"/>
  <c r="R15" i="32"/>
  <c r="V15" i="32" s="1"/>
  <c r="R14" i="32"/>
  <c r="V14" i="32" s="1"/>
  <c r="R12" i="32"/>
  <c r="V12" i="32" s="1"/>
  <c r="R11" i="32"/>
  <c r="V11" i="32" s="1"/>
  <c r="R10" i="32"/>
  <c r="R9" i="32"/>
  <c r="V9" i="32" s="1"/>
  <c r="R8" i="32"/>
  <c r="V8" i="32" s="1"/>
  <c r="U38" i="27"/>
  <c r="T38" i="27"/>
  <c r="S38" i="27"/>
  <c r="S55" i="32" s="1"/>
  <c r="R38" i="27"/>
  <c r="U27" i="27"/>
  <c r="T27" i="27"/>
  <c r="S27" i="27"/>
  <c r="R27" i="27"/>
  <c r="U45" i="28"/>
  <c r="T45" i="28"/>
  <c r="S45" i="28"/>
  <c r="R45" i="28"/>
  <c r="U44" i="28"/>
  <c r="T44" i="28"/>
  <c r="S44" i="28"/>
  <c r="R44" i="28"/>
  <c r="U43" i="28"/>
  <c r="T43" i="28"/>
  <c r="S43" i="28"/>
  <c r="R43" i="28"/>
  <c r="U38" i="28"/>
  <c r="T38" i="28"/>
  <c r="S38" i="28"/>
  <c r="R38" i="28"/>
  <c r="U24" i="28"/>
  <c r="U29" i="28" s="1"/>
  <c r="T24" i="28"/>
  <c r="T29" i="28" s="1"/>
  <c r="S24" i="28"/>
  <c r="S29" i="28" s="1"/>
  <c r="R24" i="28"/>
  <c r="R29" i="28" s="1"/>
  <c r="U11" i="28"/>
  <c r="U17" i="28" s="1"/>
  <c r="T11" i="28"/>
  <c r="S11" i="28"/>
  <c r="S17" i="28" s="1"/>
  <c r="R11" i="28"/>
  <c r="R17" i="28" s="1"/>
  <c r="Q35" i="28"/>
  <c r="R38" i="32" l="1"/>
  <c r="R27" i="32"/>
  <c r="T40" i="28"/>
  <c r="U40" i="28"/>
  <c r="S40" i="28"/>
  <c r="S41" i="28" s="1"/>
  <c r="V24" i="32"/>
  <c r="V27" i="32" s="1"/>
  <c r="V10" i="32"/>
  <c r="V31" i="32"/>
  <c r="V38" i="32" s="1"/>
  <c r="R40" i="28"/>
  <c r="R41" i="28" s="1"/>
  <c r="U46" i="28"/>
  <c r="S46" i="28"/>
  <c r="T46" i="28"/>
  <c r="R46" i="28"/>
  <c r="R6" i="27" l="1"/>
  <c r="R21" i="27" s="1"/>
  <c r="T6" i="27"/>
  <c r="T21" i="27" s="1"/>
  <c r="T42" i="27" s="1"/>
  <c r="V42" i="27" s="1"/>
  <c r="S6" i="27"/>
  <c r="S21" i="27" s="1"/>
  <c r="S42" i="27" s="1"/>
  <c r="P32" i="32"/>
  <c r="R6" i="32" l="1"/>
  <c r="V6" i="27"/>
  <c r="V21" i="27" s="1"/>
  <c r="T6" i="32"/>
  <c r="S6" i="32"/>
  <c r="R48" i="32"/>
  <c r="V6" i="32"/>
  <c r="R42" i="27"/>
  <c r="R21" i="32"/>
  <c r="U21" i="27"/>
  <c r="V21" i="32" l="1"/>
  <c r="S21" i="32"/>
  <c r="S48" i="32"/>
  <c r="T48" i="32"/>
  <c r="T21" i="32"/>
  <c r="R42" i="32"/>
  <c r="R50" i="32" s="1"/>
  <c r="R53" i="32"/>
  <c r="U42" i="27"/>
  <c r="S42" i="32" l="1"/>
  <c r="S50" i="32" s="1"/>
  <c r="S53" i="32"/>
  <c r="T42" i="32"/>
  <c r="T50" i="32" s="1"/>
  <c r="V42" i="32"/>
  <c r="P40" i="32"/>
  <c r="P30" i="32"/>
  <c r="P31" i="32"/>
  <c r="P33" i="32"/>
  <c r="P34" i="32"/>
  <c r="P24" i="32"/>
  <c r="P25" i="32"/>
  <c r="P26" i="32"/>
  <c r="P8" i="32"/>
  <c r="P9" i="32"/>
  <c r="P10" i="32"/>
  <c r="P11" i="32"/>
  <c r="P12" i="32"/>
  <c r="P14" i="32"/>
  <c r="P15" i="32"/>
  <c r="P16" i="32"/>
  <c r="P17" i="32"/>
  <c r="P18" i="32"/>
  <c r="P19" i="32"/>
  <c r="P20" i="27"/>
  <c r="Q20" i="27" s="1"/>
  <c r="Q40" i="27"/>
  <c r="Q37" i="27"/>
  <c r="Q36" i="27"/>
  <c r="Q35" i="27"/>
  <c r="Q34" i="27"/>
  <c r="Q33" i="27"/>
  <c r="Q32" i="27"/>
  <c r="Q31" i="27"/>
  <c r="Q30" i="27"/>
  <c r="Q26" i="27"/>
  <c r="Q25" i="27"/>
  <c r="Q24" i="27"/>
  <c r="Q19" i="27"/>
  <c r="Q18" i="27"/>
  <c r="Q17" i="27"/>
  <c r="Q16" i="27"/>
  <c r="Q15" i="27"/>
  <c r="Q14" i="27"/>
  <c r="Q12" i="27"/>
  <c r="Q11" i="27"/>
  <c r="Q10" i="27"/>
  <c r="Q9" i="27"/>
  <c r="Q8" i="27"/>
  <c r="Q36" i="28"/>
  <c r="Q37" i="28"/>
  <c r="Q34" i="28"/>
  <c r="Q33" i="28"/>
  <c r="Q28" i="28"/>
  <c r="Q27" i="28"/>
  <c r="Q26" i="28"/>
  <c r="Q23" i="28"/>
  <c r="Q22" i="28"/>
  <c r="Q21" i="28"/>
  <c r="Q16" i="28"/>
  <c r="Q14" i="28"/>
  <c r="Q13" i="28"/>
  <c r="Q10" i="28"/>
  <c r="Q9" i="28"/>
  <c r="Q8" i="28"/>
  <c r="Q7" i="28"/>
  <c r="P44" i="28"/>
  <c r="P43" i="28"/>
  <c r="P20" i="32" l="1"/>
  <c r="P27" i="32"/>
  <c r="P45" i="28"/>
  <c r="P46" i="28" s="1"/>
  <c r="M11" i="32"/>
  <c r="O40" i="32" l="1"/>
  <c r="O37" i="32"/>
  <c r="O36" i="32"/>
  <c r="O35" i="32"/>
  <c r="O34" i="32"/>
  <c r="O33" i="32"/>
  <c r="O31" i="32"/>
  <c r="O30" i="32"/>
  <c r="O26" i="32"/>
  <c r="O25" i="32"/>
  <c r="O24" i="32"/>
  <c r="O20" i="32"/>
  <c r="O19" i="32"/>
  <c r="O18" i="32"/>
  <c r="O17" i="32"/>
  <c r="O16" i="32"/>
  <c r="O15" i="32"/>
  <c r="O14" i="32"/>
  <c r="O11" i="32"/>
  <c r="O12" i="32"/>
  <c r="O10" i="32"/>
  <c r="O9" i="32"/>
  <c r="O8" i="32"/>
  <c r="N11" i="32"/>
  <c r="Q11" i="32" l="1"/>
  <c r="O45" i="28" l="1"/>
  <c r="O44" i="28"/>
  <c r="O43" i="28"/>
  <c r="P11" i="28"/>
  <c r="P17" i="28" l="1"/>
  <c r="Q11" i="28"/>
  <c r="O38" i="32"/>
  <c r="O27" i="32"/>
  <c r="O46" i="28"/>
  <c r="Q17" i="28" l="1"/>
  <c r="M43" i="28" l="1"/>
  <c r="D43" i="28" l="1"/>
  <c r="C43" i="28"/>
  <c r="C45" i="28"/>
  <c r="C44" i="28"/>
  <c r="C46" i="28" l="1"/>
  <c r="M9" i="32"/>
  <c r="M10" i="32"/>
  <c r="M12" i="32"/>
  <c r="M14" i="32"/>
  <c r="M15" i="32"/>
  <c r="M16" i="32"/>
  <c r="M17" i="32"/>
  <c r="M18" i="32"/>
  <c r="M19" i="32"/>
  <c r="M20" i="32"/>
  <c r="M8" i="32"/>
  <c r="E40" i="32"/>
  <c r="E56" i="32" s="1"/>
  <c r="E37" i="32"/>
  <c r="E36" i="32"/>
  <c r="E35" i="32"/>
  <c r="E34" i="32"/>
  <c r="E33" i="32"/>
  <c r="E32" i="32"/>
  <c r="E31" i="32"/>
  <c r="E30" i="32"/>
  <c r="E26" i="32"/>
  <c r="E25" i="32"/>
  <c r="E24" i="32"/>
  <c r="E20" i="32"/>
  <c r="E19" i="32"/>
  <c r="E18" i="32"/>
  <c r="E17" i="32"/>
  <c r="E16" i="32"/>
  <c r="E15" i="32"/>
  <c r="E14" i="32"/>
  <c r="E12" i="32"/>
  <c r="E10" i="32"/>
  <c r="E9" i="32"/>
  <c r="E8" i="32"/>
  <c r="D26" i="32"/>
  <c r="D25" i="32"/>
  <c r="D24" i="32"/>
  <c r="F31" i="32"/>
  <c r="F32" i="32"/>
  <c r="F33" i="32"/>
  <c r="F34" i="32"/>
  <c r="F35" i="32"/>
  <c r="F36" i="32"/>
  <c r="F37" i="32"/>
  <c r="D31" i="32"/>
  <c r="D32" i="32"/>
  <c r="D33" i="32"/>
  <c r="D34" i="32"/>
  <c r="D35" i="32"/>
  <c r="D36" i="32"/>
  <c r="D37" i="32"/>
  <c r="C31" i="32"/>
  <c r="C32" i="32"/>
  <c r="C33" i="32"/>
  <c r="C34" i="32"/>
  <c r="C35" i="32"/>
  <c r="C36" i="32"/>
  <c r="C37" i="32"/>
  <c r="B31" i="32"/>
  <c r="B32" i="32"/>
  <c r="B33" i="32"/>
  <c r="B34" i="32"/>
  <c r="B35" i="32"/>
  <c r="B36" i="32"/>
  <c r="L34" i="27" l="1"/>
  <c r="N9" i="32" l="1"/>
  <c r="Q9" i="32" s="1"/>
  <c r="N10" i="32"/>
  <c r="Q10" i="32" s="1"/>
  <c r="N12" i="32"/>
  <c r="Q12" i="32" s="1"/>
  <c r="N14" i="32"/>
  <c r="Q14" i="32" s="1"/>
  <c r="N15" i="32"/>
  <c r="Q15" i="32" s="1"/>
  <c r="N16" i="32"/>
  <c r="Q16" i="32" s="1"/>
  <c r="N17" i="32"/>
  <c r="Q17" i="32" s="1"/>
  <c r="N18" i="32"/>
  <c r="Q18" i="32" s="1"/>
  <c r="N19" i="32"/>
  <c r="Q19" i="32" s="1"/>
  <c r="N20" i="32"/>
  <c r="Q20" i="32" s="1"/>
  <c r="K9" i="32"/>
  <c r="K10" i="32"/>
  <c r="K12" i="32"/>
  <c r="K14" i="32"/>
  <c r="K15" i="32"/>
  <c r="K16" i="32"/>
  <c r="K17" i="32"/>
  <c r="K18" i="32"/>
  <c r="K19" i="32"/>
  <c r="K20" i="32"/>
  <c r="J9" i="32"/>
  <c r="J10" i="32"/>
  <c r="J12" i="32"/>
  <c r="J14" i="32"/>
  <c r="J15" i="32"/>
  <c r="J16" i="32"/>
  <c r="J17" i="32"/>
  <c r="J18" i="32"/>
  <c r="J19" i="32"/>
  <c r="J20" i="32"/>
  <c r="I9" i="32"/>
  <c r="I10" i="32"/>
  <c r="I12" i="32"/>
  <c r="I14" i="32"/>
  <c r="I15" i="32"/>
  <c r="I16" i="32"/>
  <c r="I17" i="32"/>
  <c r="I18" i="32"/>
  <c r="I19" i="32"/>
  <c r="I20" i="32"/>
  <c r="G32" i="27"/>
  <c r="G34" i="27"/>
  <c r="D15" i="32"/>
  <c r="D16" i="32"/>
  <c r="D17" i="32"/>
  <c r="D18" i="32"/>
  <c r="D19" i="32"/>
  <c r="D20" i="32"/>
  <c r="F25" i="32"/>
  <c r="F26" i="32"/>
  <c r="F9" i="32"/>
  <c r="F10" i="32"/>
  <c r="F12" i="32"/>
  <c r="F14" i="32"/>
  <c r="F15" i="32"/>
  <c r="F16" i="32"/>
  <c r="F17" i="32"/>
  <c r="F18" i="32"/>
  <c r="F19" i="32"/>
  <c r="F20" i="32"/>
  <c r="H31" i="32"/>
  <c r="H32" i="32"/>
  <c r="H33" i="32"/>
  <c r="H34" i="32"/>
  <c r="H35" i="32"/>
  <c r="H36" i="32"/>
  <c r="H37" i="32"/>
  <c r="H15" i="32"/>
  <c r="H16" i="32"/>
  <c r="H17" i="32"/>
  <c r="H18" i="32"/>
  <c r="H19" i="32"/>
  <c r="H20" i="32"/>
  <c r="H14" i="32"/>
  <c r="D9" i="32"/>
  <c r="D10" i="32"/>
  <c r="D12" i="32"/>
  <c r="D14" i="32"/>
  <c r="D8" i="32"/>
  <c r="D30" i="32"/>
  <c r="D40" i="32"/>
  <c r="B37" i="27"/>
  <c r="B37" i="32" s="1"/>
  <c r="L14" i="27"/>
  <c r="L12" i="27"/>
  <c r="G14" i="27"/>
  <c r="D56" i="32" l="1"/>
  <c r="D27" i="32"/>
  <c r="D38" i="32"/>
  <c r="N31" i="32" l="1"/>
  <c r="N32" i="32"/>
  <c r="N33" i="32"/>
  <c r="N34" i="32"/>
  <c r="N35" i="32"/>
  <c r="N36" i="32"/>
  <c r="N37" i="32"/>
  <c r="M31" i="32"/>
  <c r="M32" i="32"/>
  <c r="M33" i="32"/>
  <c r="Q33" i="32" s="1"/>
  <c r="M34" i="32"/>
  <c r="M35" i="32"/>
  <c r="M36" i="32"/>
  <c r="M37" i="32"/>
  <c r="K31" i="32"/>
  <c r="K32" i="32"/>
  <c r="K33" i="32"/>
  <c r="K34" i="32"/>
  <c r="K35" i="32"/>
  <c r="K36" i="32"/>
  <c r="K37" i="32"/>
  <c r="J31" i="32"/>
  <c r="J32" i="32"/>
  <c r="J33" i="32"/>
  <c r="J34" i="32"/>
  <c r="J35" i="32"/>
  <c r="J36" i="32"/>
  <c r="J37" i="32"/>
  <c r="I31" i="32"/>
  <c r="I32" i="32"/>
  <c r="I33" i="32"/>
  <c r="I34" i="32"/>
  <c r="I35" i="32"/>
  <c r="I36" i="32"/>
  <c r="I37" i="32"/>
  <c r="B43" i="32"/>
  <c r="B40" i="32"/>
  <c r="B30" i="32"/>
  <c r="B26" i="32"/>
  <c r="B25" i="32"/>
  <c r="B24" i="32"/>
  <c r="B20" i="32"/>
  <c r="B19" i="32"/>
  <c r="B18" i="32"/>
  <c r="B17" i="32"/>
  <c r="B16" i="32"/>
  <c r="B15" i="32"/>
  <c r="B14" i="32"/>
  <c r="B12" i="32"/>
  <c r="B10" i="32"/>
  <c r="B9" i="32"/>
  <c r="B8" i="32"/>
  <c r="B6" i="32"/>
  <c r="P38" i="32"/>
  <c r="P55" i="32" s="1"/>
  <c r="C20" i="32"/>
  <c r="C9" i="32"/>
  <c r="C10" i="32"/>
  <c r="C12" i="32"/>
  <c r="C14" i="32"/>
  <c r="C15" i="32"/>
  <c r="C16" i="32"/>
  <c r="C17" i="32"/>
  <c r="C18" i="32"/>
  <c r="C19" i="32"/>
  <c r="G41" i="27"/>
  <c r="B38" i="27"/>
  <c r="B27" i="27"/>
  <c r="B21" i="27"/>
  <c r="L28" i="28"/>
  <c r="G10" i="27"/>
  <c r="L10" i="27"/>
  <c r="G28" i="28"/>
  <c r="Q31" i="32" l="1"/>
  <c r="Q36" i="32"/>
  <c r="Q37" i="32"/>
  <c r="Q35" i="32"/>
  <c r="Q34" i="32"/>
  <c r="Q32" i="32"/>
  <c r="B56" i="32"/>
  <c r="B21" i="32"/>
  <c r="B27" i="32"/>
  <c r="B54" i="32" s="1"/>
  <c r="B38" i="32"/>
  <c r="B55" i="32" s="1"/>
  <c r="B42" i="27"/>
  <c r="B53" i="32" l="1"/>
  <c r="B42" i="32"/>
  <c r="B50" i="32" s="1"/>
  <c r="B44" i="27"/>
  <c r="B44" i="32" l="1"/>
  <c r="B47" i="32" s="1"/>
  <c r="D43" i="27"/>
  <c r="J38" i="28"/>
  <c r="K38" i="28"/>
  <c r="M38" i="28"/>
  <c r="N38" i="28"/>
  <c r="D24" i="28"/>
  <c r="D29" i="28" s="1"/>
  <c r="E24" i="28"/>
  <c r="E29" i="28" s="1"/>
  <c r="F24" i="28"/>
  <c r="F29" i="28" s="1"/>
  <c r="H24" i="28"/>
  <c r="H29" i="28" s="1"/>
  <c r="I24" i="28"/>
  <c r="I29" i="28" s="1"/>
  <c r="J24" i="28"/>
  <c r="J29" i="28" s="1"/>
  <c r="K24" i="28"/>
  <c r="K29" i="28" s="1"/>
  <c r="M24" i="28"/>
  <c r="M29" i="28" s="1"/>
  <c r="N24" i="28"/>
  <c r="N29" i="28" s="1"/>
  <c r="J11" i="28"/>
  <c r="J17" i="28" s="1"/>
  <c r="C24" i="28"/>
  <c r="C29" i="28" s="1"/>
  <c r="B38" i="28"/>
  <c r="G26" i="28"/>
  <c r="L26" i="28"/>
  <c r="B11" i="28"/>
  <c r="B17" i="28" s="1"/>
  <c r="G43" i="32" l="1"/>
  <c r="B51" i="32"/>
  <c r="K40" i="28"/>
  <c r="N40" i="28"/>
  <c r="J40" i="28"/>
  <c r="J41" i="28" s="1"/>
  <c r="M40" i="28"/>
  <c r="N30" i="32" l="1"/>
  <c r="B48" i="32" l="1"/>
  <c r="N45" i="28"/>
  <c r="N43" i="28" l="1"/>
  <c r="N24" i="32" l="1"/>
  <c r="M30" i="32"/>
  <c r="Q30" i="32" s="1"/>
  <c r="Q38" i="32" s="1"/>
  <c r="Q55" i="32" s="1"/>
  <c r="M24" i="32"/>
  <c r="Q24" i="32" s="1"/>
  <c r="P38" i="27"/>
  <c r="Q38" i="27" s="1"/>
  <c r="O38" i="27"/>
  <c r="N38" i="27"/>
  <c r="O27" i="27"/>
  <c r="N27" i="27"/>
  <c r="O11" i="28"/>
  <c r="O17" i="28" s="1"/>
  <c r="O24" i="28"/>
  <c r="O29" i="28" s="1"/>
  <c r="N44" i="28" l="1"/>
  <c r="N46" i="28" s="1"/>
  <c r="N38" i="32"/>
  <c r="M25" i="32"/>
  <c r="N25" i="32"/>
  <c r="N8" i="32"/>
  <c r="Q8" i="32" s="1"/>
  <c r="M26" i="32"/>
  <c r="N26" i="32"/>
  <c r="M40" i="32"/>
  <c r="N40" i="32"/>
  <c r="M38" i="27"/>
  <c r="M27" i="27"/>
  <c r="P27" i="27"/>
  <c r="Q27" i="27" s="1"/>
  <c r="P24" i="28"/>
  <c r="Q25" i="32" l="1"/>
  <c r="Q26" i="32"/>
  <c r="N55" i="32"/>
  <c r="Q40" i="32"/>
  <c r="P29" i="28"/>
  <c r="Q29" i="28" s="1"/>
  <c r="Q24" i="28"/>
  <c r="N56" i="32"/>
  <c r="M56" i="32"/>
  <c r="N27" i="32"/>
  <c r="M27" i="32"/>
  <c r="M38" i="32"/>
  <c r="Q27" i="32" l="1"/>
  <c r="M54" i="32"/>
  <c r="N54" i="32"/>
  <c r="M55" i="32"/>
  <c r="M45" i="28" l="1"/>
  <c r="M44" i="28" l="1"/>
  <c r="M46" i="28" l="1"/>
  <c r="M6" i="27" l="1"/>
  <c r="M21" i="27" s="1"/>
  <c r="M42" i="27" s="1"/>
  <c r="M6" i="32" l="1"/>
  <c r="M48" i="32" s="1"/>
  <c r="N6" i="27"/>
  <c r="N21" i="27" s="1"/>
  <c r="N42" i="27" s="1"/>
  <c r="O38" i="28"/>
  <c r="O40" i="28" s="1"/>
  <c r="O41" i="28" s="1"/>
  <c r="N6" i="32" l="1"/>
  <c r="N21" i="32" s="1"/>
  <c r="N53" i="32" s="1"/>
  <c r="O6" i="27"/>
  <c r="P6" i="27" s="1"/>
  <c r="M21" i="32"/>
  <c r="M53" i="32" s="1"/>
  <c r="P38" i="28"/>
  <c r="O21" i="27" l="1"/>
  <c r="Q6" i="27"/>
  <c r="P6" i="32"/>
  <c r="P21" i="27"/>
  <c r="P40" i="28"/>
  <c r="P41" i="28" s="1"/>
  <c r="Q38" i="28"/>
  <c r="Q40" i="28" s="1"/>
  <c r="N48" i="32"/>
  <c r="O6" i="32"/>
  <c r="N42" i="32"/>
  <c r="N50" i="32" s="1"/>
  <c r="M42" i="32"/>
  <c r="O21" i="32" l="1"/>
  <c r="O48" i="32"/>
  <c r="O42" i="27"/>
  <c r="O53" i="32"/>
  <c r="P21" i="32"/>
  <c r="P48" i="32"/>
  <c r="Q21" i="27"/>
  <c r="P42" i="27"/>
  <c r="Q42" i="27" s="1"/>
  <c r="Q6" i="32"/>
  <c r="M50" i="32"/>
  <c r="Q41" i="28"/>
  <c r="P42" i="32" l="1"/>
  <c r="P50" i="32" s="1"/>
  <c r="Q21" i="32"/>
  <c r="Q48" i="32"/>
  <c r="O42" i="32"/>
  <c r="Q42" i="32" s="1"/>
  <c r="P53" i="32"/>
  <c r="O50" i="32" l="1"/>
  <c r="Q50" i="32"/>
  <c r="Q53" i="32"/>
  <c r="L36" i="28" l="1"/>
  <c r="L35" i="28"/>
  <c r="L37" i="28"/>
  <c r="L34" i="28"/>
  <c r="L27" i="28"/>
  <c r="L23" i="28"/>
  <c r="L13" i="28"/>
  <c r="L16" i="28"/>
  <c r="L14" i="28"/>
  <c r="L35" i="27"/>
  <c r="L33" i="27"/>
  <c r="L32" i="27"/>
  <c r="L30" i="27"/>
  <c r="K30" i="32"/>
  <c r="L40" i="27"/>
  <c r="L37" i="27"/>
  <c r="L36" i="27"/>
  <c r="L26" i="27"/>
  <c r="L25" i="27"/>
  <c r="L24" i="27"/>
  <c r="L20" i="27"/>
  <c r="L19" i="27"/>
  <c r="L18" i="27"/>
  <c r="L17" i="27"/>
  <c r="L16" i="27"/>
  <c r="L15" i="27"/>
  <c r="L9" i="27"/>
  <c r="L8" i="27"/>
  <c r="L10" i="28"/>
  <c r="L8" i="28" l="1"/>
  <c r="L21" i="28"/>
  <c r="L22" i="28"/>
  <c r="L33" i="28"/>
  <c r="L38" i="28" s="1"/>
  <c r="K38" i="27"/>
  <c r="L38" i="27" s="1"/>
  <c r="K27" i="27"/>
  <c r="L27" i="27" l="1"/>
  <c r="L24" i="28"/>
  <c r="L29" i="28" s="1"/>
  <c r="L40" i="28" s="1"/>
  <c r="L9" i="28"/>
  <c r="K45" i="28" l="1"/>
  <c r="K44" i="28"/>
  <c r="K43" i="28" l="1"/>
  <c r="K46" i="28" s="1"/>
  <c r="I40" i="32" l="1"/>
  <c r="I30" i="32"/>
  <c r="I26" i="32"/>
  <c r="I25" i="32"/>
  <c r="I24" i="32"/>
  <c r="I8" i="32"/>
  <c r="I56" i="32" l="1"/>
  <c r="I38" i="32"/>
  <c r="I27" i="32"/>
  <c r="J30" i="32"/>
  <c r="L14" i="32"/>
  <c r="K25" i="32"/>
  <c r="J40" i="32" l="1"/>
  <c r="K40" i="32"/>
  <c r="K56" i="32" l="1"/>
  <c r="J56" i="32"/>
  <c r="K24" i="32"/>
  <c r="K8" i="32"/>
  <c r="K38" i="32"/>
  <c r="K26" i="32"/>
  <c r="K27" i="32" l="1"/>
  <c r="J27" i="27"/>
  <c r="J38" i="27"/>
  <c r="K55" i="32" s="1"/>
  <c r="K54" i="32" l="1"/>
  <c r="J45" i="28"/>
  <c r="J43" i="28"/>
  <c r="J44" i="28"/>
  <c r="J46" i="28" l="1"/>
  <c r="J25" i="32" l="1"/>
  <c r="H43" i="28" l="1"/>
  <c r="H45" i="28" l="1"/>
  <c r="H44" i="28"/>
  <c r="H46" i="28" l="1"/>
  <c r="H38" i="27" l="1"/>
  <c r="H27" i="27"/>
  <c r="H9" i="32"/>
  <c r="H40" i="32"/>
  <c r="H56" i="32" s="1"/>
  <c r="L36" i="32"/>
  <c r="L33" i="32"/>
  <c r="L32" i="32"/>
  <c r="L31" i="32"/>
  <c r="H30" i="32"/>
  <c r="L30" i="32" s="1"/>
  <c r="H26" i="32"/>
  <c r="H25" i="32"/>
  <c r="H24" i="32"/>
  <c r="H12" i="32"/>
  <c r="H10" i="32"/>
  <c r="H8" i="32"/>
  <c r="L40" i="32" l="1"/>
  <c r="L25" i="32"/>
  <c r="L12" i="32"/>
  <c r="H38" i="32"/>
  <c r="H27" i="32"/>
  <c r="L56" i="32" l="1"/>
  <c r="H54" i="32"/>
  <c r="H55" i="32"/>
  <c r="H6" i="27" l="1"/>
  <c r="H21" i="27" l="1"/>
  <c r="H42" i="27" s="1"/>
  <c r="H6" i="32"/>
  <c r="H48" i="32" l="1"/>
  <c r="H21" i="32"/>
  <c r="H53" i="32" s="1"/>
  <c r="H42" i="32" l="1"/>
  <c r="H50" i="32" l="1"/>
  <c r="G36" i="28"/>
  <c r="G37" i="28"/>
  <c r="G34" i="28"/>
  <c r="G33" i="28"/>
  <c r="G27" i="28"/>
  <c r="G23" i="28"/>
  <c r="G22" i="28"/>
  <c r="G16" i="28"/>
  <c r="G13" i="28"/>
  <c r="G14" i="28"/>
  <c r="G10" i="28"/>
  <c r="G8" i="28" l="1"/>
  <c r="G21" i="28"/>
  <c r="G24" i="28" s="1"/>
  <c r="G29" i="28" s="1"/>
  <c r="G9" i="28" l="1"/>
  <c r="F40" i="32" l="1"/>
  <c r="F30" i="32"/>
  <c r="F24" i="32"/>
  <c r="F8" i="32"/>
  <c r="F56" i="32" l="1"/>
  <c r="F38" i="32"/>
  <c r="F27" i="32"/>
  <c r="G40" i="27"/>
  <c r="G37" i="27"/>
  <c r="G36" i="27"/>
  <c r="G35" i="27"/>
  <c r="G33" i="27"/>
  <c r="G30" i="27"/>
  <c r="G26" i="27"/>
  <c r="G25" i="27"/>
  <c r="G24" i="27"/>
  <c r="G20" i="27"/>
  <c r="G19" i="27"/>
  <c r="G18" i="27"/>
  <c r="G17" i="27"/>
  <c r="G16" i="27"/>
  <c r="G15" i="27"/>
  <c r="G12" i="27"/>
  <c r="G9" i="27"/>
  <c r="G8" i="27"/>
  <c r="F38" i="27"/>
  <c r="G38" i="27" s="1"/>
  <c r="F27" i="27"/>
  <c r="G27" i="27" l="1"/>
  <c r="F43" i="28"/>
  <c r="F45" i="28"/>
  <c r="F44" i="28"/>
  <c r="F46" i="28" l="1"/>
  <c r="E38" i="27" l="1"/>
  <c r="F55" i="32" s="1"/>
  <c r="E27" i="27"/>
  <c r="F54" i="32" s="1"/>
  <c r="E45" i="28"/>
  <c r="E44" i="28"/>
  <c r="E43" i="28"/>
  <c r="E38" i="32" l="1"/>
  <c r="E27" i="32"/>
  <c r="E46" i="28"/>
  <c r="G14" i="32" l="1"/>
  <c r="D38" i="27" l="1"/>
  <c r="D27" i="27"/>
  <c r="E54" i="32" l="1"/>
  <c r="E55" i="32"/>
  <c r="D45" i="28"/>
  <c r="D44" i="28"/>
  <c r="D46" i="28" l="1"/>
  <c r="G37" i="32" l="1"/>
  <c r="G36" i="32"/>
  <c r="C25" i="32"/>
  <c r="G25" i="32" l="1"/>
  <c r="C40" i="32"/>
  <c r="C56" i="32" s="1"/>
  <c r="G35" i="32"/>
  <c r="G34" i="32"/>
  <c r="G33" i="32"/>
  <c r="G32" i="32"/>
  <c r="G31" i="32"/>
  <c r="C30" i="32"/>
  <c r="C26" i="32"/>
  <c r="C24" i="32"/>
  <c r="G19" i="32"/>
  <c r="G18" i="32"/>
  <c r="G17" i="32"/>
  <c r="G16" i="32"/>
  <c r="G15" i="32"/>
  <c r="G12" i="32"/>
  <c r="G10" i="32"/>
  <c r="C8" i="32"/>
  <c r="G30" i="32" l="1"/>
  <c r="G8" i="32"/>
  <c r="G40" i="32"/>
  <c r="G26" i="32"/>
  <c r="G24" i="32"/>
  <c r="C27" i="32"/>
  <c r="C38" i="32"/>
  <c r="G56" i="32" l="1"/>
  <c r="G27" i="32"/>
  <c r="C38" i="27"/>
  <c r="D55" i="32" s="1"/>
  <c r="C27" i="27"/>
  <c r="D54" i="32" s="1"/>
  <c r="C54" i="32" l="1"/>
  <c r="C55" i="32"/>
  <c r="G54" i="32"/>
  <c r="G38" i="32" l="1"/>
  <c r="G55" i="32" l="1"/>
  <c r="E6" i="27"/>
  <c r="G9" i="32"/>
  <c r="C6" i="27" l="1"/>
  <c r="D6" i="27" l="1"/>
  <c r="E6" i="32" s="1"/>
  <c r="E21" i="32" s="1"/>
  <c r="C21" i="27"/>
  <c r="C42" i="27" s="1"/>
  <c r="C6" i="32"/>
  <c r="C48" i="32" s="1"/>
  <c r="E48" i="32" l="1"/>
  <c r="F6" i="27"/>
  <c r="F21" i="27" s="1"/>
  <c r="C21" i="32"/>
  <c r="C53" i="32" s="1"/>
  <c r="E21" i="27"/>
  <c r="D6" i="32"/>
  <c r="D21" i="32" s="1"/>
  <c r="D21" i="27"/>
  <c r="E53" i="32" l="1"/>
  <c r="F6" i="32"/>
  <c r="F48" i="32" s="1"/>
  <c r="D53" i="32"/>
  <c r="D48" i="32"/>
  <c r="C42" i="32"/>
  <c r="D42" i="32"/>
  <c r="D50" i="32" s="1"/>
  <c r="D42" i="27"/>
  <c r="E42" i="27"/>
  <c r="G6" i="27"/>
  <c r="G20" i="32"/>
  <c r="F42" i="27"/>
  <c r="G21" i="27"/>
  <c r="G6" i="32" l="1"/>
  <c r="G48" i="32" s="1"/>
  <c r="F21" i="32"/>
  <c r="F53" i="32" s="1"/>
  <c r="E42" i="32"/>
  <c r="E50" i="32" s="1"/>
  <c r="C50" i="32"/>
  <c r="G42" i="27"/>
  <c r="G21" i="32" l="1"/>
  <c r="G53" i="32" s="1"/>
  <c r="F42" i="32"/>
  <c r="B24" i="28"/>
  <c r="B29" i="28" s="1"/>
  <c r="B40" i="28" s="1"/>
  <c r="F50" i="32" l="1"/>
  <c r="G42" i="32"/>
  <c r="G50" i="32" l="1"/>
  <c r="C38" i="28" l="1"/>
  <c r="C40" i="28" s="1"/>
  <c r="D38" i="28" l="1"/>
  <c r="D40" i="28" s="1"/>
  <c r="E38" i="28" l="1"/>
  <c r="E40" i="28" s="1"/>
  <c r="C43" i="32"/>
  <c r="C44" i="32" l="1"/>
  <c r="C49" i="32" s="1"/>
  <c r="C43" i="27"/>
  <c r="F43" i="27"/>
  <c r="E43" i="27"/>
  <c r="F38" i="28"/>
  <c r="F40" i="28" s="1"/>
  <c r="C51" i="32" l="1"/>
  <c r="D43" i="32"/>
  <c r="F44" i="27"/>
  <c r="C44" i="27"/>
  <c r="D44" i="27"/>
  <c r="E11" i="28"/>
  <c r="E17" i="28" s="1"/>
  <c r="E41" i="28" s="1"/>
  <c r="E44" i="27"/>
  <c r="D11" i="28"/>
  <c r="D17" i="28" s="1"/>
  <c r="D41" i="28" s="1"/>
  <c r="C11" i="28"/>
  <c r="C17" i="28" s="1"/>
  <c r="C41" i="28" s="1"/>
  <c r="G43" i="27"/>
  <c r="G35" i="28"/>
  <c r="B41" i="28"/>
  <c r="D44" i="32" l="1"/>
  <c r="G44" i="27"/>
  <c r="H43" i="27" s="1"/>
  <c r="H38" i="28"/>
  <c r="H40" i="28" s="1"/>
  <c r="G38" i="28"/>
  <c r="G40" i="28" s="1"/>
  <c r="F11" i="28"/>
  <c r="F17" i="28" s="1"/>
  <c r="D51" i="32" l="1"/>
  <c r="D49" i="32"/>
  <c r="E43" i="32"/>
  <c r="E44" i="32" s="1"/>
  <c r="E49" i="32" s="1"/>
  <c r="K43" i="27"/>
  <c r="L43" i="27" s="1"/>
  <c r="I43" i="27"/>
  <c r="J43" i="27"/>
  <c r="G7" i="28"/>
  <c r="G11" i="28" s="1"/>
  <c r="G17" i="28" s="1"/>
  <c r="E51" i="32" l="1"/>
  <c r="F43" i="32"/>
  <c r="F44" i="32" s="1"/>
  <c r="F49" i="32" s="1"/>
  <c r="G44" i="32"/>
  <c r="G49" i="32" s="1"/>
  <c r="H44" i="27"/>
  <c r="G41" i="28"/>
  <c r="H11" i="28"/>
  <c r="H17" i="28" s="1"/>
  <c r="F51" i="32" l="1"/>
  <c r="L43" i="32"/>
  <c r="G51" i="32"/>
  <c r="H43" i="32"/>
  <c r="G47" i="32"/>
  <c r="H41" i="28"/>
  <c r="F41" i="28"/>
  <c r="H44" i="32" l="1"/>
  <c r="H49" i="32" s="1"/>
  <c r="L34" i="32"/>
  <c r="L35" i="32"/>
  <c r="I43" i="32" l="1"/>
  <c r="H51" i="32"/>
  <c r="L19" i="32" l="1"/>
  <c r="L10" i="32"/>
  <c r="L17" i="32"/>
  <c r="J24" i="32"/>
  <c r="J38" i="32"/>
  <c r="L24" i="32" l="1"/>
  <c r="L18" i="32"/>
  <c r="L16" i="32"/>
  <c r="J26" i="32"/>
  <c r="J8" i="32"/>
  <c r="L15" i="32"/>
  <c r="L9" i="32"/>
  <c r="I27" i="27"/>
  <c r="I54" i="32" s="1"/>
  <c r="I45" i="28"/>
  <c r="I38" i="27"/>
  <c r="I43" i="28"/>
  <c r="I44" i="28"/>
  <c r="I55" i="32" l="1"/>
  <c r="J55" i="32"/>
  <c r="L8" i="32"/>
  <c r="L26" i="32"/>
  <c r="J27" i="32"/>
  <c r="L37" i="32"/>
  <c r="I46" i="28"/>
  <c r="J54" i="32" l="1"/>
  <c r="L27" i="32"/>
  <c r="L38" i="32"/>
  <c r="L55" i="32" s="1"/>
  <c r="L54" i="32" l="1"/>
  <c r="I6" i="27" l="1"/>
  <c r="I6" i="32" l="1"/>
  <c r="I48" i="32" s="1"/>
  <c r="I21" i="27"/>
  <c r="J6" i="27"/>
  <c r="I21" i="32" l="1"/>
  <c r="I53" i="32" s="1"/>
  <c r="I42" i="27"/>
  <c r="I44" i="27" s="1"/>
  <c r="I38" i="28"/>
  <c r="I40" i="28" s="1"/>
  <c r="J6" i="32"/>
  <c r="K6" i="27"/>
  <c r="I11" i="28"/>
  <c r="I17" i="28" s="1"/>
  <c r="J21" i="27"/>
  <c r="L6" i="27" l="1"/>
  <c r="I42" i="32"/>
  <c r="J21" i="32"/>
  <c r="J48" i="32"/>
  <c r="J42" i="27"/>
  <c r="J44" i="27" s="1"/>
  <c r="K6" i="32"/>
  <c r="K21" i="27"/>
  <c r="I44" i="32" l="1"/>
  <c r="I49" i="32" s="1"/>
  <c r="I50" i="32"/>
  <c r="J42" i="32"/>
  <c r="J53" i="32"/>
  <c r="K48" i="32"/>
  <c r="K21" i="32"/>
  <c r="L6" i="32"/>
  <c r="L21" i="32" s="1"/>
  <c r="L21" i="27"/>
  <c r="K42" i="27"/>
  <c r="L20" i="32"/>
  <c r="I41" i="28"/>
  <c r="I51" i="32" l="1"/>
  <c r="J43" i="32"/>
  <c r="J44" i="32" s="1"/>
  <c r="J49" i="32" s="1"/>
  <c r="L48" i="32"/>
  <c r="K42" i="32"/>
  <c r="K50" i="32" s="1"/>
  <c r="K53" i="32"/>
  <c r="J50" i="32"/>
  <c r="K44" i="27"/>
  <c r="L42" i="27"/>
  <c r="L44" i="27" s="1"/>
  <c r="P43" i="27" s="1"/>
  <c r="J51" i="32" l="1"/>
  <c r="Q43" i="27"/>
  <c r="P44" i="27"/>
  <c r="N43" i="27"/>
  <c r="O43" i="27"/>
  <c r="K43" i="32"/>
  <c r="K44" i="32" s="1"/>
  <c r="K49" i="32" s="1"/>
  <c r="L53" i="32"/>
  <c r="L42" i="32"/>
  <c r="L44" i="32" s="1"/>
  <c r="L49" i="32" s="1"/>
  <c r="M43" i="27"/>
  <c r="K11" i="28"/>
  <c r="K17" i="28" s="1"/>
  <c r="K41" i="28" s="1"/>
  <c r="Q43" i="32" l="1"/>
  <c r="Q44" i="32" s="1"/>
  <c r="Q49" i="32" s="1"/>
  <c r="O44" i="27"/>
  <c r="Q44" i="27"/>
  <c r="R43" i="27" s="1"/>
  <c r="R44" i="27" s="1"/>
  <c r="K51" i="32"/>
  <c r="L50" i="32"/>
  <c r="L47" i="32"/>
  <c r="L51" i="32"/>
  <c r="M43" i="32"/>
  <c r="L7" i="28"/>
  <c r="L11" i="28" s="1"/>
  <c r="L17" i="28" s="1"/>
  <c r="Q51" i="32" l="1"/>
  <c r="U43" i="27"/>
  <c r="V43" i="27" s="1"/>
  <c r="T43" i="27"/>
  <c r="T44" i="27" s="1"/>
  <c r="S43" i="27"/>
  <c r="S44" i="27" s="1"/>
  <c r="V43" i="32"/>
  <c r="R43" i="32"/>
  <c r="R44" i="32" s="1"/>
  <c r="R49" i="32" s="1"/>
  <c r="M44" i="32"/>
  <c r="M49" i="32" s="1"/>
  <c r="N44" i="27"/>
  <c r="M44" i="27"/>
  <c r="M11" i="28"/>
  <c r="M17" i="28" s="1"/>
  <c r="M41" i="28" s="1"/>
  <c r="N11" i="28"/>
  <c r="N17" i="28" s="1"/>
  <c r="L41" i="28"/>
  <c r="V44" i="32" l="1"/>
  <c r="S43" i="32"/>
  <c r="S44" i="32" s="1"/>
  <c r="R51" i="32"/>
  <c r="V44" i="27"/>
  <c r="U44" i="27"/>
  <c r="N43" i="32"/>
  <c r="M51" i="32"/>
  <c r="N41" i="28"/>
  <c r="S49" i="32" l="1"/>
  <c r="T43" i="32"/>
  <c r="T44" i="32" s="1"/>
  <c r="S51" i="32"/>
  <c r="N44" i="32"/>
  <c r="N49" i="32" s="1"/>
  <c r="T51" i="32" l="1"/>
  <c r="T49" i="32"/>
  <c r="O43" i="32"/>
  <c r="O44" i="32" s="1"/>
  <c r="O49" i="32" s="1"/>
  <c r="N51" i="32"/>
  <c r="P43" i="32" l="1"/>
  <c r="P44" i="32" s="1"/>
  <c r="P49" i="32" s="1"/>
  <c r="O51" i="32"/>
  <c r="V41" i="28"/>
  <c r="P51" i="32" l="1"/>
</calcChain>
</file>

<file path=xl/sharedStrings.xml><?xml version="1.0" encoding="utf-8"?>
<sst xmlns="http://schemas.openxmlformats.org/spreadsheetml/2006/main" count="283" uniqueCount="145">
  <si>
    <t>Quarter Ended</t>
  </si>
  <si>
    <t>ASSETS</t>
  </si>
  <si>
    <t>Cash and cash equivalents</t>
  </si>
  <si>
    <t>Yr Ended</t>
  </si>
  <si>
    <t>Total revenue</t>
  </si>
  <si>
    <t>Net income (loss)</t>
  </si>
  <si>
    <t>Adjustments to reconcile net income (loss) to net cash provided by operating activities:</t>
  </si>
  <si>
    <t>Depreciation and amortization</t>
  </si>
  <si>
    <t>Accounts payable</t>
  </si>
  <si>
    <t>Accumulated other comprehensive loss</t>
  </si>
  <si>
    <t>Key Metrics</t>
  </si>
  <si>
    <t>Basic</t>
  </si>
  <si>
    <t>Diluted</t>
  </si>
  <si>
    <t>Accounts receivable, net</t>
  </si>
  <si>
    <t>LIABILITIES AND EQUITY</t>
  </si>
  <si>
    <t>Additional paid-in capital</t>
  </si>
  <si>
    <t>Deferred income taxes</t>
  </si>
  <si>
    <t>Financial Data Workbook</t>
  </si>
  <si>
    <t>Contact:</t>
  </si>
  <si>
    <t>and Forms 10-Q corresponding to the financial data in this workbook. The Forms 10-K and Forms 10-Q can be found at sec.gov or on the investor</t>
  </si>
  <si>
    <t>Other liabilities</t>
  </si>
  <si>
    <t>Gross profit</t>
  </si>
  <si>
    <t>FY'18</t>
  </si>
  <si>
    <t>FY'19</t>
  </si>
  <si>
    <t>Consolidated Statements of Income</t>
  </si>
  <si>
    <t>Net sales</t>
  </si>
  <si>
    <t>Weighted average shares outstanding:</t>
  </si>
  <si>
    <t>Current assets:</t>
  </si>
  <si>
    <t>Consolidated Balance Sheets</t>
  </si>
  <si>
    <t>Goodwill</t>
  </si>
  <si>
    <t>Property, plant and equipment, net</t>
  </si>
  <si>
    <t>Other assets</t>
  </si>
  <si>
    <t>Total assets</t>
  </si>
  <si>
    <t>Current liabilities:</t>
  </si>
  <si>
    <t>Total liabilities and equity</t>
  </si>
  <si>
    <t>Consolidated Statements of Cash Flows (Cumulative)</t>
  </si>
  <si>
    <t>Consolidated Statements of Cash Flows (Quarterly)</t>
  </si>
  <si>
    <t>Cash flows from operating activities:</t>
  </si>
  <si>
    <t>Cash flows from investing activities:</t>
  </si>
  <si>
    <t>Cash flow from financing activities:</t>
  </si>
  <si>
    <t>Net increase (decrease) in cash, cash equivalents and restricted cash</t>
  </si>
  <si>
    <t>(Unaudited)</t>
  </si>
  <si>
    <t>FY'20</t>
  </si>
  <si>
    <t>FY'21</t>
  </si>
  <si>
    <t>Resideo Technologies, Inc.</t>
  </si>
  <si>
    <t>Interest expense</t>
  </si>
  <si>
    <t>(unaudited, in millions, except per share data)</t>
  </si>
  <si>
    <t>Current maturities of long-term debt</t>
  </si>
  <si>
    <t>Resideo Technologies, Inc. equity:</t>
  </si>
  <si>
    <t>Other current assets</t>
  </si>
  <si>
    <t>Accrued liabilities</t>
  </si>
  <si>
    <t>Obligations payable under Indemnification Agreements</t>
  </si>
  <si>
    <t>Proceeds from long-term debt</t>
  </si>
  <si>
    <t>Payment of debt facility issuance and modification costs</t>
  </si>
  <si>
    <t>Distribution to Honeywell in connection with Spin-Off</t>
  </si>
  <si>
    <t>Net proceeds from revolving credit facility</t>
  </si>
  <si>
    <t>Issuance of common stock through public offering, net of issuance cost</t>
  </si>
  <si>
    <t>Non-operating obligation from Honeywell, net</t>
  </si>
  <si>
    <t>Income before taxes</t>
  </si>
  <si>
    <t>Selling, general and administrative expenses</t>
  </si>
  <si>
    <t>Research and development expenses</t>
  </si>
  <si>
    <t>(unaudited, in millions)</t>
  </si>
  <si>
    <t>ADI Global Distribution</t>
  </si>
  <si>
    <t>Corporate</t>
  </si>
  <si>
    <t>Products &amp; Solutions</t>
  </si>
  <si>
    <t>Security</t>
  </si>
  <si>
    <t>U.S. and Canada</t>
  </si>
  <si>
    <t>EMEA</t>
  </si>
  <si>
    <t>APAC</t>
  </si>
  <si>
    <t>Disaggregated revenue (% of total)</t>
  </si>
  <si>
    <t>Disaggregated revenue:</t>
  </si>
  <si>
    <t>Other expense (income), net</t>
  </si>
  <si>
    <t>Check</t>
  </si>
  <si>
    <t>Total liabilities</t>
  </si>
  <si>
    <t>Total current liabilities</t>
  </si>
  <si>
    <t>Total current assets</t>
  </si>
  <si>
    <t>Days sales outstanding</t>
  </si>
  <si>
    <t>Days inventory outstanding</t>
  </si>
  <si>
    <t>Days payable outstanding</t>
  </si>
  <si>
    <t>Cash conversion cycle</t>
  </si>
  <si>
    <t>Jason Willey</t>
  </si>
  <si>
    <t>jason.willey@resideo.com</t>
  </si>
  <si>
    <t>relations section of the company's website at investor.resideo.com</t>
  </si>
  <si>
    <t>Vice President, Investor Relations</t>
  </si>
  <si>
    <t>check to IS</t>
  </si>
  <si>
    <t>check footing - end of period cash</t>
  </si>
  <si>
    <t>Check quarterly calcs - operating</t>
  </si>
  <si>
    <t>Check quarterly calcs - investing</t>
  </si>
  <si>
    <t>Check quarterly calcs - financing</t>
  </si>
  <si>
    <t>check footing -net increase (decrease) in cash</t>
  </si>
  <si>
    <t>Gross profit:</t>
  </si>
  <si>
    <t>Gross margin:</t>
  </si>
  <si>
    <t>Total gross profit</t>
  </si>
  <si>
    <t>Total revenue percentage</t>
  </si>
  <si>
    <t>Total gross margin</t>
  </si>
  <si>
    <t>Loss on extinguishment of debt</t>
  </si>
  <si>
    <t>Retained earnings (deficit)</t>
  </si>
  <si>
    <t>Total Resideo Technologies, Inc. equity</t>
  </si>
  <si>
    <t>related notes thereto, and the “Management’s Discussion and Analysis of Financial Condition and Results of Operations” included in the Forms 10-K</t>
  </si>
  <si>
    <t>FY '18</t>
  </si>
  <si>
    <t>YTD Ended</t>
  </si>
  <si>
    <t xml:space="preserve">The financial data in this workbook should be read in conjunction with, and is qualified by reference to, Resideo’s consolidated and combined financial statements and </t>
  </si>
  <si>
    <t>FY'22</t>
  </si>
  <si>
    <t>Water</t>
  </si>
  <si>
    <t>Air</t>
  </si>
  <si>
    <t>Energy</t>
  </si>
  <si>
    <t>Other intangible assets, net</t>
  </si>
  <si>
    <t>Income from operations</t>
  </si>
  <si>
    <t>Intangible asset amortization</t>
  </si>
  <si>
    <t>Earnings attributable to Resideo Technologies, Inc. per share:</t>
  </si>
  <si>
    <t>Net revenue:</t>
  </si>
  <si>
    <t>Net revenue (% of total):</t>
  </si>
  <si>
    <t>Products &amp; Solutions revenue</t>
  </si>
  <si>
    <t>ADI Global Distribution revenue</t>
  </si>
  <si>
    <t>Income (loss) from operations:</t>
  </si>
  <si>
    <t>Income (loss) from operations  (% of total):</t>
  </si>
  <si>
    <t xml:space="preserve">Total income (loss) from operations </t>
  </si>
  <si>
    <t>Total income (loss) from operations</t>
  </si>
  <si>
    <t>Share-based compensation expense</t>
  </si>
  <si>
    <t>Inventories, net</t>
  </si>
  <si>
    <t>Other, net</t>
  </si>
  <si>
    <t>Common shares</t>
  </si>
  <si>
    <t>Treasury shares</t>
  </si>
  <si>
    <t>Third Quarter 2022</t>
  </si>
  <si>
    <t>Cost of goods sold</t>
  </si>
  <si>
    <t>Provision for income taxes</t>
  </si>
  <si>
    <t>check to BS (off by restricted Cash in other assets on BS)</t>
  </si>
  <si>
    <t>Long-term debt, net of current maturities</t>
  </si>
  <si>
    <t>Changes in operating assets and liabilities, net of effect of acquisitions:</t>
  </si>
  <si>
    <t>Capital expenditures</t>
  </si>
  <si>
    <t>Acquisitions, net of cash acquired</t>
  </si>
  <si>
    <t>Repayments of long-term debt</t>
  </si>
  <si>
    <t>Effect of foreign exchange rate changes on cash, cash equivalents and restricted cash</t>
  </si>
  <si>
    <t>Cash, cash equivalents and restricted cash at beginning of period</t>
  </si>
  <si>
    <t>Nine Months Ended</t>
  </si>
  <si>
    <t xml:space="preserve">  Net cash provided by (used for) operating activities</t>
  </si>
  <si>
    <t xml:space="preserve">  Net cash used in investing activities</t>
  </si>
  <si>
    <t xml:space="preserve">  Net cash (used in) provided by financing activities</t>
  </si>
  <si>
    <t>Interest paid</t>
  </si>
  <si>
    <t>Income taxes paid, net</t>
  </si>
  <si>
    <t xml:space="preserve">  Net cash provided by (used in) operating activities</t>
  </si>
  <si>
    <t>Cash, cash equivalents and restricted cash at end of period</t>
  </si>
  <si>
    <t>Supplemental  cash flow information at Dec 31:</t>
  </si>
  <si>
    <t>Please note that results disclosed in prior period filings may not agree to the current presentation due to reclassification adjustments made in subsequent periods.</t>
  </si>
  <si>
    <t>YTD Period 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</si>
</sst>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-* #,##0.00\ [$€-1]_-;\-* #,##0.00\ [$€-1]_-;_-* \-??\ [$€-1]_-"/>
    <numFmt numFmtId="167" formatCode="0.0%"/>
    <numFmt numFmtId="168" formatCode="[$-409]mmmm\ d\,\ yyyy;@"/>
    <numFmt numFmtId="169" formatCode="###0%;\(###0%\)"/>
  </numFmts>
  <fonts count="33" x14ac:knownFonts="1">
    <font>
      <sz val="10"/>
      <name val="Arial"/>
    </font>
    <font>
      <sz val="8"/>
      <color theme="1"/>
      <name val="Arial Narrow"/>
      <family val="2"/>
    </font>
    <font>
      <sz val="10"/>
      <name val="Arial"/>
      <family val="2"/>
    </font>
    <font>
      <sz val="12"/>
      <name val="Tms Rmn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5.95"/>
      <color indexed="8"/>
      <name val="Times New Roman"/>
      <family val="1"/>
    </font>
    <font>
      <sz val="11"/>
      <color indexed="10"/>
      <name val="Calibri"/>
      <family val="2"/>
    </font>
    <font>
      <b/>
      <sz val="8"/>
      <name val="Arial"/>
      <family val="2"/>
    </font>
    <font>
      <u val="doubleAccounting"/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8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4D2E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5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2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4" fillId="0" borderId="3" applyNumberFormat="0" applyAlignment="0" applyProtection="0">
      <alignment horizontal="left" vertical="center"/>
    </xf>
    <xf numFmtId="0" fontId="4" fillId="0" borderId="4">
      <alignment horizontal="left" vertical="center"/>
    </xf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6" fillId="23" borderId="9" applyNumberFormat="0" applyFont="0" applyAlignment="0" applyProtection="0"/>
    <xf numFmtId="0" fontId="19" fillId="20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43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" fillId="0" borderId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3" fontId="31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/>
    <xf numFmtId="0" fontId="24" fillId="0" borderId="0" xfId="0" applyFont="1" applyFill="1" applyBorder="1" applyAlignment="1">
      <alignment horizontal="center"/>
    </xf>
    <xf numFmtId="16" fontId="24" fillId="0" borderId="14" xfId="0" quotePrefix="1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16" fontId="24" fillId="0" borderId="0" xfId="0" quotePrefix="1" applyNumberFormat="1" applyFont="1" applyFill="1" applyBorder="1" applyAlignment="1"/>
    <xf numFmtId="0" fontId="24" fillId="0" borderId="0" xfId="0" quotePrefix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indent="1"/>
    </xf>
    <xf numFmtId="164" fontId="5" fillId="0" borderId="0" xfId="28" applyNumberFormat="1" applyFont="1" applyFill="1" applyAlignment="1"/>
    <xf numFmtId="0" fontId="5" fillId="0" borderId="0" xfId="0" applyFont="1" applyFill="1" applyBorder="1" applyAlignment="1">
      <alignment horizontal="left" indent="1"/>
    </xf>
    <xf numFmtId="165" fontId="5" fillId="0" borderId="14" xfId="28" applyNumberFormat="1" applyFont="1" applyFill="1" applyBorder="1" applyAlignment="1"/>
    <xf numFmtId="165" fontId="5" fillId="0" borderId="0" xfId="28" applyNumberFormat="1" applyFont="1" applyFill="1" applyAlignment="1"/>
    <xf numFmtId="165" fontId="5" fillId="0" borderId="0" xfId="28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165" fontId="5" fillId="0" borderId="4" xfId="28" applyNumberFormat="1" applyFont="1" applyFill="1" applyBorder="1" applyAlignment="1"/>
    <xf numFmtId="0" fontId="5" fillId="0" borderId="0" xfId="0" applyFont="1" applyFill="1" applyAlignment="1">
      <alignment horizontal="left" vertical="center"/>
    </xf>
    <xf numFmtId="164" fontId="5" fillId="0" borderId="17" xfId="28" applyNumberFormat="1" applyFont="1" applyFill="1" applyBorder="1" applyAlignment="1"/>
    <xf numFmtId="164" fontId="25" fillId="0" borderId="0" xfId="28" applyNumberFormat="1" applyFont="1" applyFill="1" applyAlignment="1"/>
    <xf numFmtId="44" fontId="5" fillId="0" borderId="0" xfId="28" applyNumberFormat="1" applyFont="1" applyFill="1" applyBorder="1" applyAlignment="1"/>
    <xf numFmtId="44" fontId="5" fillId="0" borderId="0" xfId="28" applyFont="1" applyFill="1" applyBorder="1" applyAlignment="1"/>
    <xf numFmtId="167" fontId="5" fillId="0" borderId="0" xfId="0" applyNumberFormat="1" applyFont="1" applyFill="1" applyAlignment="1"/>
    <xf numFmtId="167" fontId="5" fillId="0" borderId="0" xfId="0" applyNumberFormat="1" applyFont="1" applyFill="1" applyBorder="1" applyAlignment="1"/>
    <xf numFmtId="0" fontId="5" fillId="0" borderId="0" xfId="0" applyFont="1" applyFill="1" applyAlignment="1">
      <alignment horizontal="left" indent="2"/>
    </xf>
    <xf numFmtId="0" fontId="24" fillId="0" borderId="0" xfId="0" applyFont="1" applyFill="1" applyAlignment="1"/>
    <xf numFmtId="16" fontId="24" fillId="0" borderId="0" xfId="0" quotePrefix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2"/>
    </xf>
    <xf numFmtId="165" fontId="5" fillId="0" borderId="22" xfId="28" applyNumberFormat="1" applyFont="1" applyFill="1" applyBorder="1" applyAlignment="1"/>
    <xf numFmtId="0" fontId="5" fillId="0" borderId="0" xfId="0" applyFont="1" applyFill="1" applyBorder="1" applyAlignment="1">
      <alignment horizontal="left" indent="3"/>
    </xf>
    <xf numFmtId="16" fontId="5" fillId="0" borderId="0" xfId="0" quotePrefix="1" applyNumberFormat="1" applyFont="1" applyFill="1" applyBorder="1" applyAlignment="1"/>
    <xf numFmtId="0" fontId="5" fillId="0" borderId="0" xfId="0" quotePrefix="1" applyFont="1" applyFill="1" applyBorder="1" applyAlignment="1"/>
    <xf numFmtId="0" fontId="5" fillId="0" borderId="0" xfId="0" applyFont="1" applyFill="1" applyAlignment="1">
      <alignment horizontal="center"/>
    </xf>
    <xf numFmtId="164" fontId="5" fillId="0" borderId="4" xfId="28" applyNumberFormat="1" applyFont="1" applyFill="1" applyBorder="1" applyAlignment="1"/>
    <xf numFmtId="0" fontId="24" fillId="0" borderId="0" xfId="0" applyFont="1" applyFill="1" applyBorder="1" applyAlignment="1"/>
    <xf numFmtId="164" fontId="5" fillId="0" borderId="0" xfId="28" applyNumberFormat="1" applyFont="1" applyFill="1" applyBorder="1" applyAlignment="1"/>
    <xf numFmtId="0" fontId="24" fillId="0" borderId="0" xfId="0" applyFont="1" applyFill="1" applyAlignment="1">
      <alignment horizontal="left"/>
    </xf>
    <xf numFmtId="167" fontId="5" fillId="0" borderId="0" xfId="51" applyNumberFormat="1" applyFont="1" applyFill="1" applyBorder="1" applyAlignment="1"/>
    <xf numFmtId="0" fontId="24" fillId="0" borderId="0" xfId="0" applyFont="1" applyFill="1" applyBorder="1" applyAlignment="1">
      <alignment horizontal="left"/>
    </xf>
    <xf numFmtId="167" fontId="5" fillId="0" borderId="0" xfId="51" applyNumberFormat="1" applyFont="1" applyFill="1" applyAlignment="1"/>
    <xf numFmtId="167" fontId="5" fillId="0" borderId="4" xfId="51" applyNumberFormat="1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8" fillId="0" borderId="0" xfId="0" applyFont="1"/>
    <xf numFmtId="0" fontId="29" fillId="0" borderId="0" xfId="0" applyFont="1"/>
    <xf numFmtId="165" fontId="5" fillId="0" borderId="0" xfId="0" applyNumberFormat="1" applyFont="1" applyFill="1" applyBorder="1" applyAlignment="1"/>
    <xf numFmtId="0" fontId="24" fillId="24" borderId="13" xfId="0" applyFont="1" applyFill="1" applyBorder="1" applyAlignment="1">
      <alignment horizontal="center"/>
    </xf>
    <xf numFmtId="16" fontId="24" fillId="24" borderId="15" xfId="0" quotePrefix="1" applyNumberFormat="1" applyFont="1" applyFill="1" applyBorder="1" applyAlignment="1">
      <alignment horizontal="center"/>
    </xf>
    <xf numFmtId="164" fontId="5" fillId="24" borderId="12" xfId="28" applyNumberFormat="1" applyFont="1" applyFill="1" applyBorder="1" applyAlignment="1"/>
    <xf numFmtId="165" fontId="5" fillId="24" borderId="15" xfId="28" applyNumberFormat="1" applyFont="1" applyFill="1" applyBorder="1" applyAlignment="1"/>
    <xf numFmtId="165" fontId="5" fillId="24" borderId="16" xfId="28" applyNumberFormat="1" applyFont="1" applyFill="1" applyBorder="1" applyAlignment="1"/>
    <xf numFmtId="165" fontId="5" fillId="24" borderId="12" xfId="28" applyNumberFormat="1" applyFont="1" applyFill="1" applyBorder="1" applyAlignment="1"/>
    <xf numFmtId="164" fontId="5" fillId="24" borderId="18" xfId="28" applyNumberFormat="1" applyFont="1" applyFill="1" applyBorder="1" applyAlignment="1"/>
    <xf numFmtId="164" fontId="25" fillId="24" borderId="12" xfId="28" applyNumberFormat="1" applyFont="1" applyFill="1" applyBorder="1" applyAlignment="1"/>
    <xf numFmtId="44" fontId="5" fillId="24" borderId="12" xfId="28" applyFont="1" applyFill="1" applyBorder="1" applyAlignment="1"/>
    <xf numFmtId="167" fontId="5" fillId="24" borderId="12" xfId="0" applyNumberFormat="1" applyFont="1" applyFill="1" applyBorder="1" applyAlignment="1"/>
    <xf numFmtId="0" fontId="24" fillId="24" borderId="12" xfId="0" quotePrefix="1" applyFont="1" applyFill="1" applyBorder="1" applyAlignment="1"/>
    <xf numFmtId="16" fontId="24" fillId="24" borderId="12" xfId="0" quotePrefix="1" applyNumberFormat="1" applyFont="1" applyFill="1" applyBorder="1" applyAlignment="1">
      <alignment horizontal="center"/>
    </xf>
    <xf numFmtId="165" fontId="5" fillId="24" borderId="23" xfId="28" applyNumberFormat="1" applyFont="1" applyFill="1" applyBorder="1" applyAlignment="1"/>
    <xf numFmtId="0" fontId="5" fillId="24" borderId="12" xfId="0" quotePrefix="1" applyFont="1" applyFill="1" applyBorder="1" applyAlignment="1"/>
    <xf numFmtId="164" fontId="5" fillId="24" borderId="16" xfId="28" applyNumberFormat="1" applyFont="1" applyFill="1" applyBorder="1" applyAlignment="1"/>
    <xf numFmtId="167" fontId="5" fillId="24" borderId="16" xfId="0" applyNumberFormat="1" applyFont="1" applyFill="1" applyBorder="1" applyAlignment="1"/>
    <xf numFmtId="9" fontId="5" fillId="24" borderId="12" xfId="51" applyFont="1" applyFill="1" applyBorder="1" applyAlignment="1"/>
    <xf numFmtId="9" fontId="5" fillId="24" borderId="16" xfId="51" applyFont="1" applyFill="1" applyBorder="1" applyAlignment="1"/>
    <xf numFmtId="165" fontId="5" fillId="0" borderId="0" xfId="0" applyNumberFormat="1" applyFont="1" applyFill="1" applyAlignment="1"/>
    <xf numFmtId="165" fontId="5" fillId="0" borderId="0" xfId="0" quotePrefix="1" applyNumberFormat="1" applyFont="1" applyFill="1" applyBorder="1" applyAlignment="1"/>
    <xf numFmtId="43" fontId="5" fillId="0" borderId="0" xfId="28" applyNumberFormat="1" applyFont="1" applyFill="1" applyBorder="1" applyAlignment="1"/>
    <xf numFmtId="168" fontId="28" fillId="0" borderId="0" xfId="0" quotePrefix="1" applyNumberFormat="1" applyFont="1" applyAlignment="1">
      <alignment horizontal="left"/>
    </xf>
    <xf numFmtId="0" fontId="30" fillId="0" borderId="0" xfId="0" applyFont="1" applyFill="1"/>
    <xf numFmtId="0" fontId="30" fillId="0" borderId="0" xfId="0" applyFont="1" applyFill="1" applyAlignment="1">
      <alignment vertical="center"/>
    </xf>
    <xf numFmtId="0" fontId="24" fillId="24" borderId="21" xfId="0" applyFont="1" applyFill="1" applyBorder="1" applyAlignment="1">
      <alignment horizontal="center"/>
    </xf>
    <xf numFmtId="0" fontId="24" fillId="24" borderId="21" xfId="0" applyFont="1" applyFill="1" applyBorder="1" applyAlignment="1">
      <alignment horizontal="center"/>
    </xf>
    <xf numFmtId="167" fontId="5" fillId="0" borderId="14" xfId="51" applyNumberFormat="1" applyFont="1" applyFill="1" applyBorder="1" applyAlignment="1"/>
    <xf numFmtId="165" fontId="5" fillId="0" borderId="25" xfId="28" applyNumberFormat="1" applyFont="1" applyFill="1" applyBorder="1" applyAlignment="1"/>
    <xf numFmtId="167" fontId="5" fillId="24" borderId="15" xfId="0" applyNumberFormat="1" applyFont="1" applyFill="1" applyBorder="1" applyAlignment="1"/>
    <xf numFmtId="9" fontId="5" fillId="0" borderId="0" xfId="51" applyFont="1" applyFill="1" applyBorder="1" applyAlignment="1"/>
    <xf numFmtId="9" fontId="5" fillId="0" borderId="0" xfId="51" applyFont="1" applyFill="1" applyBorder="1" applyAlignment="1">
      <alignment horizontal="left" indent="1"/>
    </xf>
    <xf numFmtId="9" fontId="5" fillId="0" borderId="4" xfId="51" applyFont="1" applyFill="1" applyBorder="1" applyAlignment="1"/>
    <xf numFmtId="9" fontId="24" fillId="0" borderId="0" xfId="51" applyFont="1" applyFill="1" applyAlignment="1">
      <alignment horizontal="center"/>
    </xf>
    <xf numFmtId="9" fontId="5" fillId="24" borderId="15" xfId="51" applyFont="1" applyFill="1" applyBorder="1" applyAlignment="1"/>
    <xf numFmtId="164" fontId="5" fillId="0" borderId="0" xfId="0" applyNumberFormat="1" applyFont="1" applyFill="1" applyAlignment="1"/>
    <xf numFmtId="165" fontId="5" fillId="0" borderId="24" xfId="28" applyNumberFormat="1" applyFont="1" applyFill="1" applyBorder="1" applyAlignment="1"/>
    <xf numFmtId="0" fontId="27" fillId="0" borderId="0" xfId="52" applyFill="1"/>
    <xf numFmtId="0" fontId="32" fillId="0" borderId="0" xfId="0" applyFont="1" applyFill="1" applyBorder="1" applyAlignment="1">
      <alignment horizontal="left" indent="2"/>
    </xf>
    <xf numFmtId="0" fontId="32" fillId="0" borderId="0" xfId="0" applyFont="1" applyFill="1" applyAlignment="1"/>
    <xf numFmtId="16" fontId="24" fillId="0" borderId="14" xfId="0" quotePrefix="1" applyNumberFormat="1" applyFont="1" applyBorder="1" applyAlignment="1">
      <alignment horizontal="center"/>
    </xf>
    <xf numFmtId="9" fontId="5" fillId="0" borderId="26" xfId="51" applyFont="1" applyFill="1" applyBorder="1" applyAlignment="1"/>
    <xf numFmtId="165" fontId="5" fillId="24" borderId="12" xfId="53" applyNumberFormat="1" applyFont="1" applyFill="1" applyBorder="1" applyAlignment="1"/>
    <xf numFmtId="0" fontId="24" fillId="24" borderId="21" xfId="0" applyFont="1" applyFill="1" applyBorder="1" applyAlignment="1">
      <alignment horizontal="center"/>
    </xf>
    <xf numFmtId="164" fontId="24" fillId="0" borderId="0" xfId="0" applyNumberFormat="1" applyFont="1" applyFill="1" applyAlignment="1">
      <alignment horizontal="center"/>
    </xf>
    <xf numFmtId="9" fontId="5" fillId="0" borderId="22" xfId="51" applyFont="1" applyFill="1" applyBorder="1" applyAlignment="1"/>
    <xf numFmtId="164" fontId="5" fillId="24" borderId="19" xfId="28" applyNumberFormat="1" applyFont="1" applyFill="1" applyBorder="1" applyAlignment="1"/>
    <xf numFmtId="165" fontId="5" fillId="24" borderId="27" xfId="28" applyNumberFormat="1" applyFont="1" applyFill="1" applyBorder="1" applyAlignment="1"/>
    <xf numFmtId="165" fontId="5" fillId="24" borderId="19" xfId="28" applyNumberFormat="1" applyFont="1" applyFill="1" applyBorder="1" applyAlignment="1"/>
    <xf numFmtId="9" fontId="5" fillId="24" borderId="27" xfId="51" applyFont="1" applyFill="1" applyBorder="1" applyAlignment="1"/>
    <xf numFmtId="167" fontId="5" fillId="24" borderId="12" xfId="51" applyNumberFormat="1" applyFont="1" applyFill="1" applyBorder="1" applyAlignment="1"/>
    <xf numFmtId="167" fontId="5" fillId="24" borderId="15" xfId="51" applyNumberFormat="1" applyFont="1" applyFill="1" applyBorder="1" applyAlignment="1"/>
    <xf numFmtId="9" fontId="5" fillId="0" borderId="0" xfId="51" applyNumberFormat="1" applyFont="1" applyFill="1" applyBorder="1" applyAlignment="1"/>
    <xf numFmtId="164" fontId="5" fillId="0" borderId="0" xfId="0" applyNumberFormat="1" applyFont="1" applyFill="1" applyAlignment="1">
      <alignment horizontal="center"/>
    </xf>
    <xf numFmtId="164" fontId="5" fillId="24" borderId="15" xfId="28" applyNumberFormat="1" applyFont="1" applyFill="1" applyBorder="1" applyAlignment="1"/>
    <xf numFmtId="164" fontId="5" fillId="0" borderId="14" xfId="28" applyNumberFormat="1" applyFont="1" applyFill="1" applyBorder="1" applyAlignment="1"/>
    <xf numFmtId="0" fontId="2" fillId="0" borderId="0" xfId="0" applyFont="1" applyAlignment="1">
      <alignment vertical="center"/>
    </xf>
    <xf numFmtId="169" fontId="5" fillId="24" borderId="12" xfId="51" applyNumberFormat="1" applyFont="1" applyFill="1" applyBorder="1" applyAlignment="1"/>
    <xf numFmtId="169" fontId="5" fillId="0" borderId="0" xfId="51" applyNumberFormat="1" applyFont="1" applyFill="1" applyBorder="1" applyAlignment="1"/>
    <xf numFmtId="0" fontId="24" fillId="24" borderId="20" xfId="0" applyFont="1" applyFill="1" applyBorder="1" applyAlignment="1">
      <alignment horizontal="center"/>
    </xf>
    <xf numFmtId="0" fontId="24" fillId="24" borderId="3" xfId="0" applyFont="1" applyFill="1" applyBorder="1" applyAlignment="1">
      <alignment horizontal="center"/>
    </xf>
    <xf numFmtId="0" fontId="24" fillId="24" borderId="21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3" builtinId="3"/>
    <cellStyle name="Currency" xfId="28" builtinId="4"/>
    <cellStyle name="E&amp;Y House" xfId="29" xr:uid="{00000000-0005-0000-0000-00001D000000}"/>
    <cellStyle name="Euro" xfId="30" xr:uid="{00000000-0005-0000-0000-00001E000000}"/>
    <cellStyle name="Explanatory Text" xfId="31" builtinId="53" customBuiltin="1"/>
    <cellStyle name="Good" xfId="32" builtinId="26" customBuiltin="1"/>
    <cellStyle name="Header1" xfId="33" xr:uid="{00000000-0005-0000-0000-000021000000}"/>
    <cellStyle name="Header2" xfId="34" xr:uid="{00000000-0005-0000-0000-000022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Hyperlink" xfId="52" builtinId="8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50" xr:uid="{00000000-0005-0000-0000-00002C000000}"/>
    <cellStyle name="Normal 2 2" xfId="49" xr:uid="{00000000-0005-0000-0000-00002D000000}"/>
    <cellStyle name="Note" xfId="42" builtinId="10" customBuiltin="1"/>
    <cellStyle name="Output" xfId="43" builtinId="21" customBuiltin="1"/>
    <cellStyle name="Percent" xfId="51" builtinId="5"/>
    <cellStyle name="Title" xfId="44" builtinId="15" customBuiltin="1"/>
    <cellStyle name="Total" xfId="45" builtinId="25" customBuiltin="1"/>
    <cellStyle name="Tusental_Cepheid A B  5 Year_Capex_HR_from_Henry" xfId="46" xr:uid="{00000000-0005-0000-0000-000033000000}"/>
    <cellStyle name="Valuta_IFRS_Balance_Cepheid Mar 07 with More Questions" xfId="47" xr:uid="{00000000-0005-0000-0000-000034000000}"/>
    <cellStyle name="Warning Text" xfId="48" builtinId="11" customBuiltin="1"/>
  </cellStyles>
  <dxfs count="0"/>
  <tableStyles count="0" defaultTableStyle="TableStyleMedium2" defaultPivotStyle="PivotStyleLight16"/>
  <colors>
    <mruColors>
      <color rgb="FFC4D2E3"/>
      <color rgb="FFF37522"/>
      <color rgb="FFFCDDC8"/>
      <color rgb="FFB8CCE4"/>
      <color rgb="FF134A8F"/>
      <color rgb="FFF8CECF"/>
      <color rgb="FFE23B3F"/>
      <color rgb="FFA7C9F3"/>
      <color rgb="FF77ACED"/>
      <color rgb="FFF69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257175</xdr:colOff>
      <xdr:row>3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6DE960-A83F-4501-A48F-07DB7AE687FB}"/>
            </a:ext>
          </a:extLst>
        </xdr:cNvPr>
        <xdr:cNvSpPr txBox="1"/>
      </xdr:nvSpPr>
      <xdr:spPr>
        <a:xfrm>
          <a:off x="3733800" y="7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son.willey@reside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B20"/>
  <sheetViews>
    <sheetView tabSelected="1" view="pageBreakPreview" zoomScaleNormal="100" zoomScaleSheetLayoutView="100" workbookViewId="0">
      <selection activeCell="J7" sqref="J7"/>
    </sheetView>
  </sheetViews>
  <sheetFormatPr defaultRowHeight="12.5" x14ac:dyDescent="0.25"/>
  <cols>
    <col min="2" max="2" width="31.453125" customWidth="1"/>
  </cols>
  <sheetData>
    <row r="1" spans="2:2" ht="18" x14ac:dyDescent="0.4">
      <c r="B1" s="44" t="s">
        <v>44</v>
      </c>
    </row>
    <row r="3" spans="2:2" ht="18" x14ac:dyDescent="0.4">
      <c r="B3" s="44" t="s">
        <v>17</v>
      </c>
    </row>
    <row r="4" spans="2:2" ht="18" x14ac:dyDescent="0.4">
      <c r="B4" s="44" t="s">
        <v>123</v>
      </c>
    </row>
    <row r="5" spans="2:2" ht="18" x14ac:dyDescent="0.4">
      <c r="B5" s="68">
        <v>44835</v>
      </c>
    </row>
    <row r="6" spans="2:2" ht="18" x14ac:dyDescent="0.4">
      <c r="B6" s="44" t="s">
        <v>41</v>
      </c>
    </row>
    <row r="8" spans="2:2" ht="15.5" x14ac:dyDescent="0.35">
      <c r="B8" s="45" t="s">
        <v>18</v>
      </c>
    </row>
    <row r="9" spans="2:2" ht="15.5" x14ac:dyDescent="0.35">
      <c r="B9" s="69" t="s">
        <v>80</v>
      </c>
    </row>
    <row r="10" spans="2:2" ht="15.5" x14ac:dyDescent="0.35">
      <c r="B10" s="69" t="s">
        <v>83</v>
      </c>
    </row>
    <row r="11" spans="2:2" x14ac:dyDescent="0.25">
      <c r="B11" s="83" t="s">
        <v>81</v>
      </c>
    </row>
    <row r="12" spans="2:2" ht="15.5" x14ac:dyDescent="0.25">
      <c r="B12" s="70"/>
    </row>
    <row r="15" spans="2:2" x14ac:dyDescent="0.25">
      <c r="B15" t="s">
        <v>101</v>
      </c>
    </row>
    <row r="16" spans="2:2" x14ac:dyDescent="0.25">
      <c r="B16" t="s">
        <v>98</v>
      </c>
    </row>
    <row r="17" spans="2:2" x14ac:dyDescent="0.25">
      <c r="B17" t="s">
        <v>19</v>
      </c>
    </row>
    <row r="18" spans="2:2" x14ac:dyDescent="0.25">
      <c r="B18" t="s">
        <v>82</v>
      </c>
    </row>
    <row r="20" spans="2:2" x14ac:dyDescent="0.25">
      <c r="B20" s="102" t="s">
        <v>143</v>
      </c>
    </row>
  </sheetData>
  <hyperlinks>
    <hyperlink ref="B11" r:id="rId1" xr:uid="{00000000-0004-0000-0000-000000000000}"/>
  </hyperlinks>
  <printOptions verticalCentered="1"/>
  <pageMargins left="0.25" right="0.25" top="0.75" bottom="0.75" header="0.3" footer="0.3"/>
  <pageSetup scale="90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V29"/>
  <sheetViews>
    <sheetView view="pageBreakPreview" topLeftCell="F1" zoomScaleNormal="85" zoomScaleSheetLayoutView="100" workbookViewId="0">
      <selection activeCell="O30" sqref="O30"/>
    </sheetView>
  </sheetViews>
  <sheetFormatPr defaultColWidth="9.81640625" defaultRowHeight="10.9" customHeight="1" outlineLevelCol="1" x14ac:dyDescent="0.2"/>
  <cols>
    <col min="1" max="1" width="33.54296875" style="1" customWidth="1"/>
    <col min="2" max="2" width="9.81640625" style="1"/>
    <col min="3" max="3" width="9.81640625" style="1" customWidth="1" outlineLevel="1"/>
    <col min="4" max="4" width="9.81640625" style="2" customWidth="1" outlineLevel="1"/>
    <col min="5" max="6" width="9.81640625" style="1" customWidth="1" outlineLevel="1"/>
    <col min="7" max="7" width="9.81640625" style="1"/>
    <col min="8" max="8" width="9.81640625" style="1" customWidth="1" outlineLevel="1"/>
    <col min="9" max="9" width="9.81640625" style="2" customWidth="1" outlineLevel="1"/>
    <col min="10" max="11" width="9.81640625" style="1" customWidth="1" outlineLevel="1"/>
    <col min="12" max="12" width="9.81640625" style="1"/>
    <col min="13" max="13" width="9.81640625" style="1" customWidth="1" outlineLevel="1"/>
    <col min="14" max="14" width="9.81640625" style="2" customWidth="1" outlineLevel="1"/>
    <col min="15" max="16" width="9.81640625" style="1" customWidth="1" outlineLevel="1"/>
    <col min="17" max="17" width="9.81640625" style="1" customWidth="1"/>
    <col min="18" max="18" width="9.81640625" style="1" customWidth="1" outlineLevel="1"/>
    <col min="19" max="19" width="9.81640625" style="1" customWidth="1"/>
    <col min="20" max="20" width="7.7265625" style="1" bestFit="1" customWidth="1"/>
    <col min="21" max="21" width="9.81640625" style="1" hidden="1" customWidth="1"/>
    <col min="22" max="22" width="16" style="1" customWidth="1"/>
    <col min="23" max="16384" width="9.81640625" style="1"/>
  </cols>
  <sheetData>
    <row r="1" spans="1:22" s="3" customFormat="1" ht="10.9" customHeight="1" thickBot="1" x14ac:dyDescent="0.3">
      <c r="A1" s="27" t="s">
        <v>44</v>
      </c>
      <c r="B1" s="71" t="s">
        <v>99</v>
      </c>
      <c r="C1" s="105" t="s">
        <v>23</v>
      </c>
      <c r="D1" s="106"/>
      <c r="E1" s="106"/>
      <c r="F1" s="106"/>
      <c r="G1" s="107"/>
      <c r="H1" s="105" t="s">
        <v>42</v>
      </c>
      <c r="I1" s="106"/>
      <c r="J1" s="106"/>
      <c r="K1" s="106"/>
      <c r="L1" s="107"/>
      <c r="M1" s="105" t="s">
        <v>43</v>
      </c>
      <c r="N1" s="106"/>
      <c r="O1" s="106"/>
      <c r="P1" s="106"/>
      <c r="Q1" s="107"/>
      <c r="R1" s="105" t="s">
        <v>102</v>
      </c>
      <c r="S1" s="106"/>
      <c r="T1" s="106"/>
      <c r="U1" s="106"/>
      <c r="V1" s="107"/>
    </row>
    <row r="2" spans="1:22" s="3" customFormat="1" ht="10.9" customHeight="1" thickBot="1" x14ac:dyDescent="0.3">
      <c r="A2" s="3" t="s">
        <v>24</v>
      </c>
      <c r="D2" s="4"/>
      <c r="I2" s="4"/>
      <c r="N2" s="4"/>
    </row>
    <row r="3" spans="1:22" s="3" customFormat="1" ht="10.9" customHeight="1" x14ac:dyDescent="0.25">
      <c r="A3" s="3" t="s">
        <v>46</v>
      </c>
      <c r="B3" s="47" t="s">
        <v>3</v>
      </c>
      <c r="C3" s="108" t="s">
        <v>0</v>
      </c>
      <c r="D3" s="108"/>
      <c r="E3" s="108"/>
      <c r="F3" s="108"/>
      <c r="G3" s="47" t="s">
        <v>3</v>
      </c>
      <c r="H3" s="108" t="s">
        <v>0</v>
      </c>
      <c r="I3" s="108"/>
      <c r="J3" s="108"/>
      <c r="K3" s="108"/>
      <c r="L3" s="47" t="s">
        <v>3</v>
      </c>
      <c r="M3" s="108" t="s">
        <v>0</v>
      </c>
      <c r="N3" s="108"/>
      <c r="O3" s="108"/>
      <c r="P3" s="108"/>
      <c r="Q3" s="47" t="s">
        <v>3</v>
      </c>
      <c r="R3" s="108" t="s">
        <v>0</v>
      </c>
      <c r="S3" s="108"/>
      <c r="T3" s="108"/>
      <c r="U3" s="108"/>
      <c r="V3" s="47" t="s">
        <v>134</v>
      </c>
    </row>
    <row r="4" spans="1:22" s="6" customFormat="1" ht="10.9" customHeight="1" x14ac:dyDescent="0.25">
      <c r="A4" s="9"/>
      <c r="B4" s="48">
        <v>43465</v>
      </c>
      <c r="C4" s="86">
        <v>43554</v>
      </c>
      <c r="D4" s="86">
        <v>43645</v>
      </c>
      <c r="E4" s="86">
        <v>43736</v>
      </c>
      <c r="F4" s="86">
        <v>43830</v>
      </c>
      <c r="G4" s="48">
        <v>43830</v>
      </c>
      <c r="H4" s="86">
        <v>43918</v>
      </c>
      <c r="I4" s="86">
        <v>44009</v>
      </c>
      <c r="J4" s="86">
        <v>44100</v>
      </c>
      <c r="K4" s="86">
        <v>44196</v>
      </c>
      <c r="L4" s="48">
        <v>44196</v>
      </c>
      <c r="M4" s="86">
        <v>44289</v>
      </c>
      <c r="N4" s="86">
        <v>44380</v>
      </c>
      <c r="O4" s="86">
        <v>44471</v>
      </c>
      <c r="P4" s="86">
        <v>44561</v>
      </c>
      <c r="Q4" s="48">
        <v>44561</v>
      </c>
      <c r="R4" s="86">
        <v>44653</v>
      </c>
      <c r="S4" s="86">
        <v>44744</v>
      </c>
      <c r="T4" s="86">
        <v>44835</v>
      </c>
      <c r="U4" s="86">
        <v>44561</v>
      </c>
      <c r="V4" s="48">
        <v>44835</v>
      </c>
    </row>
    <row r="5" spans="1:22" s="6" customFormat="1" ht="10.9" customHeight="1" x14ac:dyDescent="0.25">
      <c r="A5" s="9" t="s">
        <v>25</v>
      </c>
      <c r="B5" s="49">
        <v>4827</v>
      </c>
      <c r="C5" s="11">
        <v>1216</v>
      </c>
      <c r="D5" s="11">
        <v>1242</v>
      </c>
      <c r="E5" s="11">
        <v>1226</v>
      </c>
      <c r="F5" s="11">
        <v>1304</v>
      </c>
      <c r="G5" s="49">
        <v>4988</v>
      </c>
      <c r="H5" s="11">
        <v>1179</v>
      </c>
      <c r="I5" s="11">
        <v>1029</v>
      </c>
      <c r="J5" s="11">
        <v>1362</v>
      </c>
      <c r="K5" s="11">
        <v>1501</v>
      </c>
      <c r="L5" s="49">
        <v>5071</v>
      </c>
      <c r="M5" s="11">
        <v>1419</v>
      </c>
      <c r="N5" s="11">
        <v>1477</v>
      </c>
      <c r="O5" s="11">
        <v>1496</v>
      </c>
      <c r="P5" s="11">
        <v>1454</v>
      </c>
      <c r="Q5" s="49">
        <v>5846</v>
      </c>
      <c r="R5" s="11">
        <v>1506</v>
      </c>
      <c r="S5" s="11">
        <v>1686</v>
      </c>
      <c r="T5" s="11">
        <v>1618</v>
      </c>
      <c r="U5" s="11"/>
      <c r="V5" s="49">
        <v>4810</v>
      </c>
    </row>
    <row r="6" spans="1:22" s="6" customFormat="1" ht="10.9" customHeight="1" x14ac:dyDescent="0.25">
      <c r="A6" s="9" t="s">
        <v>124</v>
      </c>
      <c r="B6" s="50">
        <v>3392</v>
      </c>
      <c r="C6" s="13">
        <v>880</v>
      </c>
      <c r="D6" s="13">
        <v>914</v>
      </c>
      <c r="E6" s="13">
        <v>912</v>
      </c>
      <c r="F6" s="13">
        <v>981</v>
      </c>
      <c r="G6" s="50">
        <v>3687</v>
      </c>
      <c r="H6" s="13">
        <v>890</v>
      </c>
      <c r="I6" s="13">
        <v>787</v>
      </c>
      <c r="J6" s="13">
        <v>987</v>
      </c>
      <c r="K6" s="13">
        <v>1073</v>
      </c>
      <c r="L6" s="50">
        <v>3737</v>
      </c>
      <c r="M6" s="13">
        <v>1044</v>
      </c>
      <c r="N6" s="13">
        <v>1091</v>
      </c>
      <c r="O6" s="13">
        <v>1075</v>
      </c>
      <c r="P6" s="13">
        <v>1053</v>
      </c>
      <c r="Q6" s="50">
        <v>4263</v>
      </c>
      <c r="R6" s="13">
        <v>1068</v>
      </c>
      <c r="S6" s="13">
        <v>1219</v>
      </c>
      <c r="T6" s="13">
        <v>1188</v>
      </c>
      <c r="U6" s="13"/>
      <c r="V6" s="50">
        <v>3475</v>
      </c>
    </row>
    <row r="7" spans="1:22" s="3" customFormat="1" ht="10.9" customHeight="1" x14ac:dyDescent="0.2">
      <c r="A7" s="9" t="s">
        <v>21</v>
      </c>
      <c r="B7" s="52">
        <v>1435</v>
      </c>
      <c r="C7" s="30">
        <v>336</v>
      </c>
      <c r="D7" s="30">
        <v>328</v>
      </c>
      <c r="E7" s="30">
        <v>314</v>
      </c>
      <c r="F7" s="30">
        <v>323</v>
      </c>
      <c r="G7" s="59">
        <v>1301</v>
      </c>
      <c r="H7" s="30">
        <v>289</v>
      </c>
      <c r="I7" s="30">
        <v>242</v>
      </c>
      <c r="J7" s="30">
        <v>375</v>
      </c>
      <c r="K7" s="30">
        <v>428</v>
      </c>
      <c r="L7" s="59">
        <v>1334</v>
      </c>
      <c r="M7" s="30">
        <v>375</v>
      </c>
      <c r="N7" s="30">
        <v>386</v>
      </c>
      <c r="O7" s="30">
        <v>421</v>
      </c>
      <c r="P7" s="30">
        <v>401</v>
      </c>
      <c r="Q7" s="59">
        <v>1583</v>
      </c>
      <c r="R7" s="30">
        <v>438</v>
      </c>
      <c r="S7" s="30">
        <v>467</v>
      </c>
      <c r="T7" s="30">
        <v>430</v>
      </c>
      <c r="U7" s="30">
        <v>0</v>
      </c>
      <c r="V7" s="59">
        <v>1335</v>
      </c>
    </row>
    <row r="8" spans="1:22" s="3" customFormat="1" ht="10.9" customHeight="1" x14ac:dyDescent="0.2">
      <c r="A8" s="3" t="s">
        <v>60</v>
      </c>
      <c r="B8" s="52">
        <v>59</v>
      </c>
      <c r="C8" s="15">
        <v>19</v>
      </c>
      <c r="D8" s="15">
        <v>27</v>
      </c>
      <c r="E8" s="15">
        <v>20</v>
      </c>
      <c r="F8" s="15">
        <v>21</v>
      </c>
      <c r="G8" s="52">
        <v>87</v>
      </c>
      <c r="H8" s="15">
        <v>18</v>
      </c>
      <c r="I8" s="15">
        <v>19</v>
      </c>
      <c r="J8" s="15">
        <v>18</v>
      </c>
      <c r="K8" s="15">
        <v>22</v>
      </c>
      <c r="L8" s="52">
        <v>77</v>
      </c>
      <c r="M8" s="15">
        <v>21</v>
      </c>
      <c r="N8" s="15">
        <v>22</v>
      </c>
      <c r="O8" s="15">
        <v>20</v>
      </c>
      <c r="P8" s="15">
        <v>23</v>
      </c>
      <c r="Q8" s="52">
        <v>86</v>
      </c>
      <c r="R8" s="15">
        <v>24</v>
      </c>
      <c r="S8" s="15">
        <v>28</v>
      </c>
      <c r="T8" s="15">
        <v>29</v>
      </c>
      <c r="U8" s="15">
        <v>0</v>
      </c>
      <c r="V8" s="52">
        <v>81</v>
      </c>
    </row>
    <row r="9" spans="1:22" s="3" customFormat="1" ht="10.9" customHeight="1" x14ac:dyDescent="0.2">
      <c r="A9" s="3" t="s">
        <v>59</v>
      </c>
      <c r="B9" s="52">
        <v>870</v>
      </c>
      <c r="C9" s="15">
        <v>226</v>
      </c>
      <c r="D9" s="15">
        <v>252</v>
      </c>
      <c r="E9" s="15">
        <v>228</v>
      </c>
      <c r="F9" s="15">
        <v>218</v>
      </c>
      <c r="G9" s="52">
        <v>924</v>
      </c>
      <c r="H9" s="15">
        <v>230</v>
      </c>
      <c r="I9" s="15">
        <v>221</v>
      </c>
      <c r="J9" s="15">
        <v>219</v>
      </c>
      <c r="K9" s="15">
        <v>247</v>
      </c>
      <c r="L9" s="52">
        <v>917</v>
      </c>
      <c r="M9" s="15">
        <v>215</v>
      </c>
      <c r="N9" s="15">
        <v>236</v>
      </c>
      <c r="O9" s="15">
        <v>227</v>
      </c>
      <c r="P9" s="15">
        <v>230</v>
      </c>
      <c r="Q9" s="52">
        <v>908</v>
      </c>
      <c r="R9" s="15">
        <v>236</v>
      </c>
      <c r="S9" s="15">
        <v>244</v>
      </c>
      <c r="T9" s="15">
        <v>236</v>
      </c>
      <c r="U9" s="15">
        <v>0</v>
      </c>
      <c r="V9" s="52">
        <v>716</v>
      </c>
    </row>
    <row r="10" spans="1:22" s="3" customFormat="1" ht="10.9" customHeight="1" x14ac:dyDescent="0.2">
      <c r="A10" s="3" t="s">
        <v>108</v>
      </c>
      <c r="B10" s="50">
        <v>13</v>
      </c>
      <c r="C10" s="13">
        <v>6</v>
      </c>
      <c r="D10" s="13">
        <v>7</v>
      </c>
      <c r="E10" s="13">
        <v>7</v>
      </c>
      <c r="F10" s="13">
        <v>12</v>
      </c>
      <c r="G10" s="50">
        <v>32</v>
      </c>
      <c r="H10" s="13">
        <v>7</v>
      </c>
      <c r="I10" s="13">
        <v>8</v>
      </c>
      <c r="J10" s="13">
        <v>7</v>
      </c>
      <c r="K10" s="74">
        <v>7</v>
      </c>
      <c r="L10" s="50">
        <v>29</v>
      </c>
      <c r="M10" s="13">
        <v>9</v>
      </c>
      <c r="N10" s="13">
        <v>7</v>
      </c>
      <c r="O10" s="13">
        <v>7</v>
      </c>
      <c r="P10" s="13">
        <v>7</v>
      </c>
      <c r="Q10" s="50">
        <v>30</v>
      </c>
      <c r="R10" s="13">
        <v>6</v>
      </c>
      <c r="S10" s="13">
        <v>9</v>
      </c>
      <c r="T10" s="13">
        <v>10</v>
      </c>
      <c r="U10" s="13"/>
      <c r="V10" s="50">
        <v>25</v>
      </c>
    </row>
    <row r="11" spans="1:22" s="3" customFormat="1" ht="10.9" customHeight="1" x14ac:dyDescent="0.2">
      <c r="A11" s="3" t="s">
        <v>107</v>
      </c>
      <c r="B11" s="52">
        <v>493</v>
      </c>
      <c r="C11" s="15">
        <v>85</v>
      </c>
      <c r="D11" s="15">
        <v>42</v>
      </c>
      <c r="E11" s="15">
        <v>59</v>
      </c>
      <c r="F11" s="15">
        <v>72</v>
      </c>
      <c r="G11" s="52">
        <v>258</v>
      </c>
      <c r="H11" s="15">
        <v>34</v>
      </c>
      <c r="I11" s="15">
        <v>-6</v>
      </c>
      <c r="J11" s="15">
        <v>131</v>
      </c>
      <c r="K11" s="15">
        <v>152</v>
      </c>
      <c r="L11" s="52">
        <v>311</v>
      </c>
      <c r="M11" s="15">
        <v>130</v>
      </c>
      <c r="N11" s="15">
        <v>121</v>
      </c>
      <c r="O11" s="15">
        <v>167</v>
      </c>
      <c r="P11" s="15">
        <v>141</v>
      </c>
      <c r="Q11" s="52">
        <v>559</v>
      </c>
      <c r="R11" s="15">
        <v>172</v>
      </c>
      <c r="S11" s="15">
        <v>186</v>
      </c>
      <c r="T11" s="15">
        <v>155</v>
      </c>
      <c r="U11" s="15">
        <v>0</v>
      </c>
      <c r="V11" s="52">
        <v>513</v>
      </c>
    </row>
    <row r="12" spans="1:22" s="3" customFormat="1" ht="10.9" customHeight="1" x14ac:dyDescent="0.2">
      <c r="A12" s="3" t="s">
        <v>71</v>
      </c>
      <c r="B12" s="52">
        <v>369</v>
      </c>
      <c r="C12" s="14">
        <v>-16</v>
      </c>
      <c r="D12" s="14">
        <v>35</v>
      </c>
      <c r="E12" s="14">
        <v>35</v>
      </c>
      <c r="F12" s="14">
        <v>64</v>
      </c>
      <c r="G12" s="52">
        <v>118</v>
      </c>
      <c r="H12" s="14">
        <v>42</v>
      </c>
      <c r="I12" s="14">
        <v>29</v>
      </c>
      <c r="J12" s="14">
        <v>35</v>
      </c>
      <c r="K12" s="14">
        <v>41</v>
      </c>
      <c r="L12" s="52">
        <v>147</v>
      </c>
      <c r="M12" s="14">
        <v>44</v>
      </c>
      <c r="N12" s="14">
        <v>28</v>
      </c>
      <c r="O12" s="14">
        <v>58</v>
      </c>
      <c r="P12" s="14">
        <v>28</v>
      </c>
      <c r="Q12" s="52">
        <v>158</v>
      </c>
      <c r="R12" s="14">
        <v>40</v>
      </c>
      <c r="S12" s="14">
        <v>41</v>
      </c>
      <c r="T12" s="14">
        <v>44</v>
      </c>
      <c r="U12" s="14">
        <v>0</v>
      </c>
      <c r="V12" s="52">
        <v>125</v>
      </c>
    </row>
    <row r="13" spans="1:22" s="3" customFormat="1" ht="10.9" customHeight="1" x14ac:dyDescent="0.2">
      <c r="A13" s="3" t="s">
        <v>45</v>
      </c>
      <c r="B13" s="50">
        <v>20</v>
      </c>
      <c r="C13" s="82">
        <v>17</v>
      </c>
      <c r="D13" s="13">
        <v>18</v>
      </c>
      <c r="E13" s="13">
        <v>16</v>
      </c>
      <c r="F13" s="13">
        <v>18</v>
      </c>
      <c r="G13" s="50">
        <v>69</v>
      </c>
      <c r="H13" s="13">
        <v>17</v>
      </c>
      <c r="I13" s="13">
        <v>18</v>
      </c>
      <c r="J13" s="13">
        <v>14</v>
      </c>
      <c r="K13" s="13">
        <v>14</v>
      </c>
      <c r="L13" s="50">
        <v>63</v>
      </c>
      <c r="M13" s="13">
        <v>13</v>
      </c>
      <c r="N13" s="13">
        <v>12</v>
      </c>
      <c r="O13" s="13">
        <v>12</v>
      </c>
      <c r="P13" s="13">
        <v>11</v>
      </c>
      <c r="Q13" s="50">
        <v>48</v>
      </c>
      <c r="R13" s="13">
        <v>11</v>
      </c>
      <c r="S13" s="13">
        <v>14</v>
      </c>
      <c r="T13" s="13">
        <v>15</v>
      </c>
      <c r="U13" s="13">
        <v>0</v>
      </c>
      <c r="V13" s="50">
        <v>40</v>
      </c>
    </row>
    <row r="14" spans="1:22" s="3" customFormat="1" ht="10.9" customHeight="1" x14ac:dyDescent="0.2">
      <c r="A14" s="3" t="s">
        <v>58</v>
      </c>
      <c r="B14" s="52">
        <v>104</v>
      </c>
      <c r="C14" s="15">
        <v>84</v>
      </c>
      <c r="D14" s="15">
        <v>-11</v>
      </c>
      <c r="E14" s="15">
        <v>8</v>
      </c>
      <c r="F14" s="15">
        <v>-10</v>
      </c>
      <c r="G14" s="52">
        <v>71</v>
      </c>
      <c r="H14" s="15">
        <v>-25</v>
      </c>
      <c r="I14" s="15">
        <v>-53</v>
      </c>
      <c r="J14" s="15">
        <v>82</v>
      </c>
      <c r="K14" s="15">
        <v>97</v>
      </c>
      <c r="L14" s="52">
        <v>101</v>
      </c>
      <c r="M14" s="15">
        <v>73</v>
      </c>
      <c r="N14" s="15">
        <v>81</v>
      </c>
      <c r="O14" s="15">
        <v>97</v>
      </c>
      <c r="P14" s="15">
        <v>102</v>
      </c>
      <c r="Q14" s="52">
        <v>353</v>
      </c>
      <c r="R14" s="15">
        <v>121</v>
      </c>
      <c r="S14" s="15">
        <v>131</v>
      </c>
      <c r="T14" s="15">
        <v>96</v>
      </c>
      <c r="U14" s="15">
        <v>0</v>
      </c>
      <c r="V14" s="52">
        <v>348</v>
      </c>
    </row>
    <row r="15" spans="1:22" s="3" customFormat="1" ht="10.9" customHeight="1" x14ac:dyDescent="0.2">
      <c r="A15" s="3" t="s">
        <v>125</v>
      </c>
      <c r="B15" s="50">
        <v>-301</v>
      </c>
      <c r="C15" s="13">
        <v>36</v>
      </c>
      <c r="D15" s="13">
        <v>0</v>
      </c>
      <c r="E15" s="13">
        <v>0</v>
      </c>
      <c r="F15" s="13">
        <v>-1</v>
      </c>
      <c r="G15" s="50">
        <v>35</v>
      </c>
      <c r="H15" s="13">
        <v>-4</v>
      </c>
      <c r="I15" s="13">
        <v>23</v>
      </c>
      <c r="J15" s="13">
        <v>7</v>
      </c>
      <c r="K15" s="13">
        <v>38</v>
      </c>
      <c r="L15" s="50">
        <v>64</v>
      </c>
      <c r="M15" s="13">
        <v>24</v>
      </c>
      <c r="N15" s="13">
        <v>23</v>
      </c>
      <c r="O15" s="13">
        <v>29</v>
      </c>
      <c r="P15" s="13">
        <v>35</v>
      </c>
      <c r="Q15" s="50">
        <v>111</v>
      </c>
      <c r="R15" s="13">
        <v>34</v>
      </c>
      <c r="S15" s="13">
        <v>37</v>
      </c>
      <c r="T15" s="13">
        <v>33</v>
      </c>
      <c r="U15" s="13">
        <v>0</v>
      </c>
      <c r="V15" s="50">
        <v>104</v>
      </c>
    </row>
    <row r="16" spans="1:22" s="16" customFormat="1" ht="10.9" customHeight="1" thickBot="1" x14ac:dyDescent="0.25">
      <c r="A16" s="43" t="s">
        <v>5</v>
      </c>
      <c r="B16" s="53">
        <v>405</v>
      </c>
      <c r="C16" s="20">
        <v>48</v>
      </c>
      <c r="D16" s="20">
        <v>-11</v>
      </c>
      <c r="E16" s="20">
        <v>8</v>
      </c>
      <c r="F16" s="20">
        <v>-9</v>
      </c>
      <c r="G16" s="53">
        <v>36</v>
      </c>
      <c r="H16" s="20">
        <v>-21</v>
      </c>
      <c r="I16" s="20">
        <v>-76</v>
      </c>
      <c r="J16" s="20">
        <v>75</v>
      </c>
      <c r="K16" s="20">
        <v>59</v>
      </c>
      <c r="L16" s="53">
        <v>37</v>
      </c>
      <c r="M16" s="20">
        <v>49</v>
      </c>
      <c r="N16" s="20">
        <v>58</v>
      </c>
      <c r="O16" s="20">
        <v>68</v>
      </c>
      <c r="P16" s="20">
        <v>67</v>
      </c>
      <c r="Q16" s="53">
        <v>242</v>
      </c>
      <c r="R16" s="20">
        <v>87</v>
      </c>
      <c r="S16" s="20">
        <v>94</v>
      </c>
      <c r="T16" s="20">
        <v>63</v>
      </c>
      <c r="U16" s="20">
        <v>0</v>
      </c>
      <c r="V16" s="53">
        <v>244</v>
      </c>
    </row>
    <row r="17" spans="1:22" s="3" customFormat="1" ht="10.9" customHeight="1" thickTop="1" x14ac:dyDescent="0.35">
      <c r="A17" s="9"/>
      <c r="B17" s="54"/>
      <c r="C17" s="21"/>
      <c r="D17" s="21"/>
      <c r="E17" s="21"/>
      <c r="F17" s="21"/>
      <c r="G17" s="54"/>
      <c r="H17" s="21"/>
      <c r="I17" s="21"/>
      <c r="J17" s="21"/>
      <c r="K17" s="21"/>
      <c r="L17" s="54"/>
      <c r="M17" s="21"/>
      <c r="N17" s="21"/>
      <c r="O17" s="21"/>
      <c r="P17" s="21"/>
      <c r="Q17" s="54"/>
      <c r="V17" s="54"/>
    </row>
    <row r="18" spans="1:22" s="16" customFormat="1" ht="10.9" customHeight="1" x14ac:dyDescent="0.2">
      <c r="A18" s="17" t="s">
        <v>109</v>
      </c>
      <c r="B18" s="55"/>
      <c r="C18" s="22"/>
      <c r="D18" s="22"/>
      <c r="E18" s="22"/>
      <c r="F18" s="23"/>
      <c r="G18" s="55"/>
      <c r="H18" s="22"/>
      <c r="I18" s="22"/>
      <c r="J18" s="22"/>
      <c r="K18" s="23"/>
      <c r="L18" s="55"/>
      <c r="M18" s="22"/>
      <c r="N18" s="22"/>
      <c r="O18" s="22"/>
      <c r="P18" s="22"/>
      <c r="Q18" s="55"/>
      <c r="V18" s="55"/>
    </row>
    <row r="19" spans="1:22" s="16" customFormat="1" ht="10.9" customHeight="1" x14ac:dyDescent="0.2">
      <c r="A19" s="10" t="s">
        <v>11</v>
      </c>
      <c r="B19" s="55">
        <v>3.3061494379545957</v>
      </c>
      <c r="C19" s="22">
        <v>0.39161295586195644</v>
      </c>
      <c r="D19" s="22">
        <v>-8.9649551752241236E-2</v>
      </c>
      <c r="E19" s="22">
        <v>6.5162498981835945E-2</v>
      </c>
      <c r="F19" s="22">
        <v>-7.3264247861090981E-2</v>
      </c>
      <c r="G19" s="55">
        <v>0.29334593634393186</v>
      </c>
      <c r="H19" s="22">
        <v>-0.17078446999886143</v>
      </c>
      <c r="I19" s="22">
        <v>-0.61686809574442181</v>
      </c>
      <c r="J19" s="22">
        <v>0.60767616532032631</v>
      </c>
      <c r="K19" s="22">
        <v>0.44898875543230743</v>
      </c>
      <c r="L19" s="55">
        <v>0.29517822382487158</v>
      </c>
      <c r="M19" s="22">
        <v>0.34174443096065055</v>
      </c>
      <c r="N19" s="22">
        <v>0.40294847122739491</v>
      </c>
      <c r="O19" s="22">
        <v>0.47</v>
      </c>
      <c r="P19" s="22">
        <v>0.46</v>
      </c>
      <c r="Q19" s="55">
        <v>1.68</v>
      </c>
      <c r="R19" s="22">
        <v>0.6</v>
      </c>
      <c r="S19" s="22">
        <v>0.65</v>
      </c>
      <c r="T19" s="22">
        <v>0.43</v>
      </c>
      <c r="U19" s="22"/>
      <c r="V19" s="55">
        <v>1.68</v>
      </c>
    </row>
    <row r="20" spans="1:22" s="16" customFormat="1" ht="10.9" customHeight="1" x14ac:dyDescent="0.2">
      <c r="A20" s="10" t="s">
        <v>12</v>
      </c>
      <c r="B20" s="55">
        <v>3.3027792275574113</v>
      </c>
      <c r="C20" s="22">
        <v>0.38875210574057278</v>
      </c>
      <c r="D20" s="22">
        <v>-8.9649551752241236E-2</v>
      </c>
      <c r="E20" s="22">
        <v>6.491188212002208E-2</v>
      </c>
      <c r="F20" s="22">
        <v>-7.3264247861090981E-2</v>
      </c>
      <c r="G20" s="55">
        <v>0.29211769097194046</v>
      </c>
      <c r="H20" s="22">
        <v>-0.17078446999886143</v>
      </c>
      <c r="I20" s="22">
        <v>-0.61686809574442181</v>
      </c>
      <c r="J20" s="22">
        <v>0.59887411666067802</v>
      </c>
      <c r="K20" s="22">
        <v>0.43890838331306137</v>
      </c>
      <c r="L20" s="55">
        <v>0.29289762832082578</v>
      </c>
      <c r="M20" s="22">
        <v>0.33185241371837243</v>
      </c>
      <c r="N20" s="22">
        <v>0.39102529529151608</v>
      </c>
      <c r="O20" s="22">
        <v>0.46</v>
      </c>
      <c r="P20" s="22">
        <v>0.45</v>
      </c>
      <c r="Q20" s="55">
        <v>1.63</v>
      </c>
      <c r="R20" s="22">
        <v>0.57999999999999996</v>
      </c>
      <c r="S20" s="22">
        <v>0.63</v>
      </c>
      <c r="T20" s="22">
        <v>0.42</v>
      </c>
      <c r="U20" s="22"/>
      <c r="V20" s="55">
        <v>1.64</v>
      </c>
    </row>
    <row r="21" spans="1:22" s="16" customFormat="1" ht="10.9" customHeight="1" x14ac:dyDescent="0.2">
      <c r="A21" s="17"/>
      <c r="B21" s="55"/>
      <c r="C21" s="22"/>
      <c r="D21" s="22"/>
      <c r="E21" s="22"/>
      <c r="F21" s="23"/>
      <c r="G21" s="55"/>
      <c r="H21" s="22"/>
      <c r="I21" s="22"/>
      <c r="J21" s="22"/>
      <c r="K21" s="23"/>
      <c r="L21" s="55"/>
      <c r="M21" s="22"/>
      <c r="N21" s="22"/>
      <c r="O21" s="22"/>
      <c r="P21" s="22"/>
      <c r="Q21" s="55"/>
      <c r="V21" s="55"/>
    </row>
    <row r="22" spans="1:22" s="16" customFormat="1" ht="10.9" customHeight="1" x14ac:dyDescent="0.2">
      <c r="A22" s="17" t="s">
        <v>26</v>
      </c>
      <c r="B22" s="55"/>
      <c r="C22" s="15"/>
      <c r="D22" s="15"/>
      <c r="E22" s="15"/>
      <c r="F22" s="23"/>
      <c r="G22" s="55"/>
      <c r="H22" s="15"/>
      <c r="I22" s="15"/>
      <c r="J22" s="15"/>
      <c r="K22" s="23"/>
      <c r="L22" s="55"/>
      <c r="M22" s="15"/>
      <c r="N22" s="15"/>
      <c r="O22" s="15"/>
      <c r="P22" s="15"/>
      <c r="Q22" s="55"/>
      <c r="V22" s="55"/>
    </row>
    <row r="23" spans="1:22" s="16" customFormat="1" ht="10.9" customHeight="1" x14ac:dyDescent="0.2">
      <c r="A23" s="10" t="s">
        <v>11</v>
      </c>
      <c r="B23" s="52">
        <v>122499</v>
      </c>
      <c r="C23" s="15">
        <v>122570</v>
      </c>
      <c r="D23" s="15">
        <v>122700</v>
      </c>
      <c r="E23" s="15">
        <v>122770</v>
      </c>
      <c r="F23" s="15">
        <v>122843</v>
      </c>
      <c r="G23" s="52">
        <v>122722</v>
      </c>
      <c r="H23" s="15">
        <v>122962</v>
      </c>
      <c r="I23" s="15">
        <v>123203</v>
      </c>
      <c r="J23" s="15">
        <v>123421</v>
      </c>
      <c r="K23" s="15">
        <v>131406.40892708334</v>
      </c>
      <c r="L23" s="52">
        <v>125348</v>
      </c>
      <c r="M23" s="15">
        <v>143382</v>
      </c>
      <c r="N23" s="15">
        <v>143939</v>
      </c>
      <c r="O23" s="15">
        <v>144284</v>
      </c>
      <c r="P23" s="15">
        <v>144560</v>
      </c>
      <c r="Q23" s="52">
        <v>144036</v>
      </c>
      <c r="R23" s="15">
        <v>145118</v>
      </c>
      <c r="S23" s="15">
        <v>145457</v>
      </c>
      <c r="T23" s="15">
        <v>145755</v>
      </c>
      <c r="U23" s="15"/>
      <c r="V23" s="52">
        <v>145442</v>
      </c>
    </row>
    <row r="24" spans="1:22" s="16" customFormat="1" ht="10.9" customHeight="1" thickBot="1" x14ac:dyDescent="0.25">
      <c r="A24" s="10" t="s">
        <v>12</v>
      </c>
      <c r="B24" s="94">
        <v>122624</v>
      </c>
      <c r="C24" s="15">
        <v>123472</v>
      </c>
      <c r="D24" s="15">
        <v>122700</v>
      </c>
      <c r="E24" s="15">
        <v>123244</v>
      </c>
      <c r="F24" s="15">
        <v>122843</v>
      </c>
      <c r="G24" s="94">
        <v>123238</v>
      </c>
      <c r="H24" s="15">
        <v>122962</v>
      </c>
      <c r="I24" s="15">
        <v>123203</v>
      </c>
      <c r="J24" s="15">
        <v>125235</v>
      </c>
      <c r="K24" s="15">
        <v>134424.40892708334</v>
      </c>
      <c r="L24" s="94">
        <v>126324</v>
      </c>
      <c r="M24" s="15">
        <v>147656</v>
      </c>
      <c r="N24" s="15">
        <v>148328</v>
      </c>
      <c r="O24" s="15">
        <v>148559</v>
      </c>
      <c r="P24" s="15">
        <v>148675</v>
      </c>
      <c r="Q24" s="94">
        <v>148448</v>
      </c>
      <c r="R24" s="15">
        <v>148760</v>
      </c>
      <c r="S24" s="15">
        <v>148829</v>
      </c>
      <c r="T24" s="15">
        <v>149158</v>
      </c>
      <c r="U24" s="15"/>
      <c r="V24" s="94">
        <v>148972</v>
      </c>
    </row>
    <row r="25" spans="1:22" s="3" customFormat="1" ht="10.9" customHeight="1" x14ac:dyDescent="0.2">
      <c r="A25" s="9"/>
      <c r="B25" s="16"/>
      <c r="C25" s="24"/>
      <c r="D25" s="24"/>
      <c r="E25" s="24"/>
      <c r="F25" s="25"/>
      <c r="G25" s="16"/>
      <c r="H25" s="24"/>
      <c r="I25" s="24"/>
      <c r="J25" s="24"/>
      <c r="K25" s="25"/>
      <c r="L25" s="16"/>
      <c r="M25" s="24"/>
      <c r="N25" s="24"/>
      <c r="O25" s="24"/>
      <c r="P25" s="25"/>
      <c r="Q25" s="16"/>
    </row>
    <row r="26" spans="1:22" s="3" customFormat="1" ht="10.9" customHeight="1" x14ac:dyDescent="0.2">
      <c r="D26" s="16"/>
      <c r="I26" s="16"/>
      <c r="N26" s="16"/>
    </row>
    <row r="27" spans="1:22" s="3" customFormat="1" ht="10.9" customHeight="1" x14ac:dyDescent="0.2">
      <c r="D27" s="16"/>
      <c r="I27" s="16"/>
      <c r="N27" s="16"/>
    </row>
    <row r="28" spans="1:22" s="3" customFormat="1" ht="10.9" customHeight="1" x14ac:dyDescent="0.2">
      <c r="D28" s="16"/>
      <c r="I28" s="16"/>
      <c r="N28" s="16"/>
    </row>
    <row r="29" spans="1:22" s="3" customFormat="1" ht="10.9" customHeight="1" x14ac:dyDescent="0.2">
      <c r="D29" s="16"/>
      <c r="I29" s="16"/>
      <c r="N29" s="16"/>
    </row>
  </sheetData>
  <mergeCells count="8">
    <mergeCell ref="C1:G1"/>
    <mergeCell ref="C3:F3"/>
    <mergeCell ref="R3:U3"/>
    <mergeCell ref="M1:Q1"/>
    <mergeCell ref="M3:P3"/>
    <mergeCell ref="H1:L1"/>
    <mergeCell ref="H3:K3"/>
    <mergeCell ref="R1:V1"/>
  </mergeCells>
  <phoneticPr fontId="5" type="noConversion"/>
  <printOptions horizontalCentered="1"/>
  <pageMargins left="0.25" right="0.25" top="0.75" bottom="0.75" header="0.3" footer="0.3"/>
  <pageSetup scale="5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V130"/>
  <sheetViews>
    <sheetView view="pageBreakPreview" topLeftCell="D1" zoomScale="85" zoomScaleNormal="100" zoomScaleSheetLayoutView="85" workbookViewId="0">
      <pane ySplit="4" topLeftCell="A5" activePane="bottomLeft" state="frozen"/>
      <selection pane="bottomLeft" activeCell="V13" sqref="V13"/>
    </sheetView>
  </sheetViews>
  <sheetFormatPr defaultColWidth="9.81640625" defaultRowHeight="10.9" customHeight="1" outlineLevelCol="1" x14ac:dyDescent="0.2"/>
  <cols>
    <col min="1" max="1" width="37.453125" style="1" bestFit="1" customWidth="1"/>
    <col min="2" max="2" width="9.81640625" style="1"/>
    <col min="3" max="6" width="9.81640625" style="1" customWidth="1" outlineLevel="1"/>
    <col min="7" max="7" width="9.81640625" style="1"/>
    <col min="8" max="11" width="9.81640625" style="1" customWidth="1" outlineLevel="1"/>
    <col min="12" max="12" width="9.81640625" style="1"/>
    <col min="13" max="16" width="9.81640625" style="1" customWidth="1" outlineLevel="1"/>
    <col min="17" max="17" width="9.81640625" style="1" customWidth="1"/>
    <col min="18" max="20" width="9.81640625" style="1" customWidth="1" outlineLevel="1"/>
    <col min="21" max="21" width="9.81640625" style="1" hidden="1" customWidth="1" outlineLevel="1"/>
    <col min="22" max="22" width="13.7265625" style="1" bestFit="1" customWidth="1" outlineLevel="1" collapsed="1"/>
    <col min="23" max="16384" width="9.81640625" style="1"/>
  </cols>
  <sheetData>
    <row r="1" spans="1:22" s="3" customFormat="1" ht="10.9" customHeight="1" thickBot="1" x14ac:dyDescent="0.3">
      <c r="A1" s="27" t="s">
        <v>44</v>
      </c>
      <c r="B1" s="89" t="s">
        <v>99</v>
      </c>
      <c r="C1" s="105" t="s">
        <v>23</v>
      </c>
      <c r="D1" s="106"/>
      <c r="E1" s="106"/>
      <c r="F1" s="106"/>
      <c r="G1" s="107"/>
      <c r="H1" s="105" t="s">
        <v>42</v>
      </c>
      <c r="I1" s="106"/>
      <c r="J1" s="106"/>
      <c r="K1" s="106"/>
      <c r="L1" s="107"/>
      <c r="M1" s="105" t="s">
        <v>43</v>
      </c>
      <c r="N1" s="106"/>
      <c r="O1" s="106"/>
      <c r="P1" s="106"/>
      <c r="Q1" s="107"/>
      <c r="R1" s="105" t="s">
        <v>102</v>
      </c>
      <c r="S1" s="106"/>
      <c r="T1" s="106"/>
      <c r="U1" s="106"/>
      <c r="V1" s="107" t="s">
        <v>102</v>
      </c>
    </row>
    <row r="2" spans="1:22" s="3" customFormat="1" ht="10.9" customHeight="1" thickBot="1" x14ac:dyDescent="0.3">
      <c r="A2" s="3" t="s">
        <v>28</v>
      </c>
      <c r="D2" s="4"/>
      <c r="I2" s="4"/>
      <c r="N2" s="4"/>
    </row>
    <row r="3" spans="1:22" s="3" customFormat="1" ht="10.9" customHeight="1" x14ac:dyDescent="0.25">
      <c r="A3" s="3" t="s">
        <v>61</v>
      </c>
      <c r="B3" s="47" t="s">
        <v>3</v>
      </c>
      <c r="C3" s="108" t="s">
        <v>0</v>
      </c>
      <c r="D3" s="108"/>
      <c r="E3" s="108"/>
      <c r="F3" s="108"/>
      <c r="G3" s="47" t="s">
        <v>3</v>
      </c>
      <c r="H3" s="108" t="s">
        <v>0</v>
      </c>
      <c r="I3" s="108"/>
      <c r="J3" s="108"/>
      <c r="K3" s="108"/>
      <c r="L3" s="47" t="s">
        <v>3</v>
      </c>
      <c r="M3" s="108" t="s">
        <v>0</v>
      </c>
      <c r="N3" s="108"/>
      <c r="O3" s="108"/>
      <c r="P3" s="108"/>
      <c r="Q3" s="47" t="s">
        <v>3</v>
      </c>
      <c r="R3" s="108" t="s">
        <v>0</v>
      </c>
      <c r="S3" s="108"/>
      <c r="T3" s="108"/>
      <c r="U3" s="108"/>
      <c r="V3" s="47" t="s">
        <v>0</v>
      </c>
    </row>
    <row r="4" spans="1:22" s="6" customFormat="1" ht="10.9" customHeight="1" x14ac:dyDescent="0.25">
      <c r="A4" s="9"/>
      <c r="B4" s="48">
        <v>43465</v>
      </c>
      <c r="C4" s="86">
        <v>43554</v>
      </c>
      <c r="D4" s="86">
        <v>43645</v>
      </c>
      <c r="E4" s="86">
        <v>43736</v>
      </c>
      <c r="F4" s="86">
        <v>43830</v>
      </c>
      <c r="G4" s="48">
        <v>43830</v>
      </c>
      <c r="H4" s="86">
        <v>43918</v>
      </c>
      <c r="I4" s="86">
        <v>44009</v>
      </c>
      <c r="J4" s="86">
        <v>44100</v>
      </c>
      <c r="K4" s="86">
        <v>44196</v>
      </c>
      <c r="L4" s="48">
        <v>44196</v>
      </c>
      <c r="M4" s="86">
        <v>44289</v>
      </c>
      <c r="N4" s="86">
        <v>44380</v>
      </c>
      <c r="O4" s="86">
        <v>44471</v>
      </c>
      <c r="P4" s="86">
        <v>44561</v>
      </c>
      <c r="Q4" s="48">
        <v>44561</v>
      </c>
      <c r="R4" s="86">
        <v>44653</v>
      </c>
      <c r="S4" s="86">
        <v>44744</v>
      </c>
      <c r="T4" s="86">
        <f>'Income Statement'!T4</f>
        <v>44835</v>
      </c>
      <c r="U4" s="86">
        <v>44561</v>
      </c>
      <c r="V4" s="48">
        <v>44835</v>
      </c>
    </row>
    <row r="5" spans="1:22" s="6" customFormat="1" ht="10.9" customHeight="1" x14ac:dyDescent="0.25">
      <c r="A5" s="38" t="s">
        <v>1</v>
      </c>
      <c r="B5" s="58"/>
      <c r="C5" s="28"/>
      <c r="D5" s="28"/>
      <c r="E5" s="28"/>
      <c r="F5" s="28"/>
      <c r="G5" s="58"/>
      <c r="H5" s="28"/>
      <c r="I5" s="28"/>
      <c r="J5" s="28"/>
      <c r="K5" s="28"/>
      <c r="L5" s="58"/>
      <c r="M5" s="28"/>
      <c r="N5" s="28"/>
      <c r="O5" s="28"/>
      <c r="P5" s="28"/>
      <c r="Q5" s="58"/>
      <c r="R5" s="28"/>
      <c r="S5" s="28"/>
      <c r="T5" s="28"/>
      <c r="U5" s="28"/>
      <c r="V5" s="58"/>
    </row>
    <row r="6" spans="1:22" s="6" customFormat="1" ht="10.9" customHeight="1" x14ac:dyDescent="0.25">
      <c r="A6" s="9" t="s">
        <v>27</v>
      </c>
      <c r="B6" s="57"/>
      <c r="C6" s="7"/>
      <c r="D6" s="7"/>
      <c r="E6" s="8"/>
      <c r="F6" s="8"/>
      <c r="G6" s="57"/>
      <c r="H6" s="7"/>
      <c r="I6" s="7"/>
      <c r="J6" s="8"/>
      <c r="K6" s="8"/>
      <c r="L6" s="57"/>
      <c r="M6" s="7"/>
      <c r="N6" s="7"/>
      <c r="O6" s="8"/>
      <c r="P6" s="8"/>
      <c r="Q6" s="57"/>
      <c r="R6" s="7"/>
      <c r="S6" s="7"/>
      <c r="T6" s="8"/>
      <c r="U6" s="8"/>
      <c r="V6" s="57"/>
    </row>
    <row r="7" spans="1:22" s="6" customFormat="1" ht="10.9" customHeight="1" x14ac:dyDescent="0.25">
      <c r="A7" s="10" t="s">
        <v>2</v>
      </c>
      <c r="B7" s="49">
        <v>265</v>
      </c>
      <c r="C7" s="11">
        <v>212</v>
      </c>
      <c r="D7" s="11">
        <v>132</v>
      </c>
      <c r="E7" s="11">
        <f>132-10</f>
        <v>122</v>
      </c>
      <c r="F7" s="11">
        <f>122-10</f>
        <v>112</v>
      </c>
      <c r="G7" s="49">
        <f>F7</f>
        <v>112</v>
      </c>
      <c r="H7" s="11">
        <f>338-10</f>
        <v>328</v>
      </c>
      <c r="I7" s="11">
        <f>362-11</f>
        <v>351</v>
      </c>
      <c r="J7" s="11">
        <f>260-11</f>
        <v>249</v>
      </c>
      <c r="K7" s="11">
        <f>517-6</f>
        <v>511</v>
      </c>
      <c r="L7" s="49">
        <f>K7</f>
        <v>511</v>
      </c>
      <c r="M7" s="11">
        <f>508-4</f>
        <v>504</v>
      </c>
      <c r="N7" s="11">
        <f>579-4</f>
        <v>575</v>
      </c>
      <c r="O7" s="11">
        <f>686-4</f>
        <v>682</v>
      </c>
      <c r="P7" s="11">
        <f>779-4</f>
        <v>775</v>
      </c>
      <c r="Q7" s="49">
        <f t="shared" ref="Q7:Q11" si="0">P7</f>
        <v>775</v>
      </c>
      <c r="R7" s="11">
        <v>240</v>
      </c>
      <c r="S7" s="11">
        <v>251</v>
      </c>
      <c r="T7" s="11">
        <v>252</v>
      </c>
      <c r="U7" s="11"/>
      <c r="V7" s="49">
        <f>T7</f>
        <v>252</v>
      </c>
    </row>
    <row r="8" spans="1:22" s="3" customFormat="1" ht="10.9" customHeight="1" x14ac:dyDescent="0.2">
      <c r="A8" s="10" t="s">
        <v>13</v>
      </c>
      <c r="B8" s="52">
        <v>821</v>
      </c>
      <c r="C8" s="15">
        <v>838</v>
      </c>
      <c r="D8" s="15">
        <v>835</v>
      </c>
      <c r="E8" s="15">
        <v>845</v>
      </c>
      <c r="F8" s="15">
        <v>817</v>
      </c>
      <c r="G8" s="52">
        <f t="shared" ref="G8" si="1">F8</f>
        <v>817</v>
      </c>
      <c r="H8" s="15">
        <v>820</v>
      </c>
      <c r="I8" s="15">
        <v>704</v>
      </c>
      <c r="J8" s="15">
        <v>884</v>
      </c>
      <c r="K8" s="15">
        <v>863</v>
      </c>
      <c r="L8" s="52">
        <f t="shared" ref="L8" si="2">K8</f>
        <v>863</v>
      </c>
      <c r="M8" s="15">
        <v>875</v>
      </c>
      <c r="N8" s="15">
        <v>895</v>
      </c>
      <c r="O8" s="15">
        <v>932</v>
      </c>
      <c r="P8" s="15">
        <v>876</v>
      </c>
      <c r="Q8" s="52">
        <f t="shared" si="0"/>
        <v>876</v>
      </c>
      <c r="R8" s="15">
        <v>1008</v>
      </c>
      <c r="S8" s="15">
        <v>1073</v>
      </c>
      <c r="T8" s="15">
        <v>1043</v>
      </c>
      <c r="U8" s="15"/>
      <c r="V8" s="52">
        <f>T8</f>
        <v>1043</v>
      </c>
    </row>
    <row r="9" spans="1:22" s="3" customFormat="1" ht="10.9" customHeight="1" x14ac:dyDescent="0.2">
      <c r="A9" s="10" t="s">
        <v>119</v>
      </c>
      <c r="B9" s="52">
        <v>628</v>
      </c>
      <c r="C9" s="15">
        <v>701</v>
      </c>
      <c r="D9" s="15">
        <v>722</v>
      </c>
      <c r="E9" s="15">
        <v>729</v>
      </c>
      <c r="F9" s="15">
        <v>671</v>
      </c>
      <c r="G9" s="52">
        <f>F9</f>
        <v>671</v>
      </c>
      <c r="H9" s="15">
        <v>671</v>
      </c>
      <c r="I9" s="15">
        <v>614</v>
      </c>
      <c r="J9" s="15">
        <v>618</v>
      </c>
      <c r="K9" s="15">
        <v>672</v>
      </c>
      <c r="L9" s="52">
        <f>K9</f>
        <v>672</v>
      </c>
      <c r="M9" s="15">
        <v>681</v>
      </c>
      <c r="N9" s="15">
        <v>684</v>
      </c>
      <c r="O9" s="15">
        <v>710</v>
      </c>
      <c r="P9" s="15">
        <v>740</v>
      </c>
      <c r="Q9" s="52">
        <f t="shared" si="0"/>
        <v>740</v>
      </c>
      <c r="R9" s="15">
        <v>922</v>
      </c>
      <c r="S9" s="15">
        <v>971</v>
      </c>
      <c r="T9" s="15">
        <v>957</v>
      </c>
      <c r="U9" s="15"/>
      <c r="V9" s="52">
        <f>T9</f>
        <v>957</v>
      </c>
    </row>
    <row r="10" spans="1:22" s="3" customFormat="1" ht="10.9" customHeight="1" x14ac:dyDescent="0.2">
      <c r="A10" s="12" t="s">
        <v>49</v>
      </c>
      <c r="B10" s="50">
        <v>95</v>
      </c>
      <c r="C10" s="13">
        <v>111</v>
      </c>
      <c r="D10" s="13">
        <f>147+10</f>
        <v>157</v>
      </c>
      <c r="E10" s="13">
        <f>134+10</f>
        <v>144</v>
      </c>
      <c r="F10" s="13">
        <f>175+10</f>
        <v>185</v>
      </c>
      <c r="G10" s="50">
        <f t="shared" ref="G10" si="3">F10</f>
        <v>185</v>
      </c>
      <c r="H10" s="13">
        <f>164+10</f>
        <v>174</v>
      </c>
      <c r="I10" s="13">
        <f>163+11</f>
        <v>174</v>
      </c>
      <c r="J10" s="13">
        <f>161+11</f>
        <v>172</v>
      </c>
      <c r="K10" s="13">
        <f>173+6</f>
        <v>179</v>
      </c>
      <c r="L10" s="50">
        <f t="shared" ref="L10" si="4">K10</f>
        <v>179</v>
      </c>
      <c r="M10" s="13">
        <f>156+4</f>
        <v>160</v>
      </c>
      <c r="N10" s="13">
        <f>198+4</f>
        <v>202</v>
      </c>
      <c r="O10" s="13">
        <f>179+4</f>
        <v>183</v>
      </c>
      <c r="P10" s="13">
        <f>146+4</f>
        <v>150</v>
      </c>
      <c r="Q10" s="50">
        <f t="shared" si="0"/>
        <v>150</v>
      </c>
      <c r="R10" s="13">
        <f>165+4</f>
        <v>169</v>
      </c>
      <c r="S10" s="13">
        <f>182+4</f>
        <v>186</v>
      </c>
      <c r="T10" s="13">
        <v>198</v>
      </c>
      <c r="U10" s="13"/>
      <c r="V10" s="50">
        <f>T10</f>
        <v>198</v>
      </c>
    </row>
    <row r="11" spans="1:22" s="4" customFormat="1" ht="10.9" customHeight="1" x14ac:dyDescent="0.25">
      <c r="A11" s="29" t="s">
        <v>75</v>
      </c>
      <c r="B11" s="52">
        <f t="shared" ref="B11:N11" si="5">SUM(B7:B10)</f>
        <v>1809</v>
      </c>
      <c r="C11" s="15">
        <f t="shared" si="5"/>
        <v>1862</v>
      </c>
      <c r="D11" s="15">
        <f t="shared" si="5"/>
        <v>1846</v>
      </c>
      <c r="E11" s="15">
        <f t="shared" si="5"/>
        <v>1840</v>
      </c>
      <c r="F11" s="15">
        <f t="shared" si="5"/>
        <v>1785</v>
      </c>
      <c r="G11" s="52">
        <f t="shared" si="5"/>
        <v>1785</v>
      </c>
      <c r="H11" s="15">
        <f t="shared" si="5"/>
        <v>1993</v>
      </c>
      <c r="I11" s="15">
        <f t="shared" si="5"/>
        <v>1843</v>
      </c>
      <c r="J11" s="15">
        <f t="shared" si="5"/>
        <v>1923</v>
      </c>
      <c r="K11" s="15">
        <f t="shared" si="5"/>
        <v>2225</v>
      </c>
      <c r="L11" s="52">
        <f t="shared" si="5"/>
        <v>2225</v>
      </c>
      <c r="M11" s="15">
        <f t="shared" si="5"/>
        <v>2220</v>
      </c>
      <c r="N11" s="15">
        <f t="shared" si="5"/>
        <v>2356</v>
      </c>
      <c r="O11" s="15">
        <f>SUM(O7:O9)+SUM(O10:O10)</f>
        <v>2507</v>
      </c>
      <c r="P11" s="15">
        <f>SUM(P7:P9)+SUM(P10:P10)</f>
        <v>2541</v>
      </c>
      <c r="Q11" s="52">
        <f t="shared" si="0"/>
        <v>2541</v>
      </c>
      <c r="R11" s="15">
        <f>SUM(R7:R10)</f>
        <v>2339</v>
      </c>
      <c r="S11" s="15">
        <f>SUM(S7:S10)</f>
        <v>2481</v>
      </c>
      <c r="T11" s="15">
        <f>SUM(T7:T9)+SUM(T10:T10)</f>
        <v>2450</v>
      </c>
      <c r="U11" s="15">
        <f>SUM(U7:U9)+SUM(U10:U10)</f>
        <v>0</v>
      </c>
      <c r="V11" s="52">
        <f>SUM(V7:V10)</f>
        <v>2450</v>
      </c>
    </row>
    <row r="12" spans="1:22" s="6" customFormat="1" ht="10.9" customHeight="1" x14ac:dyDescent="0.25">
      <c r="A12" s="26"/>
      <c r="B12" s="52"/>
      <c r="C12" s="15"/>
      <c r="D12" s="15"/>
      <c r="E12" s="15"/>
      <c r="F12" s="15"/>
      <c r="G12" s="52"/>
      <c r="H12" s="15"/>
      <c r="I12" s="15"/>
      <c r="J12" s="15"/>
      <c r="K12" s="15"/>
      <c r="L12" s="52"/>
      <c r="M12" s="15"/>
      <c r="N12" s="15"/>
      <c r="O12" s="15"/>
      <c r="P12" s="15"/>
      <c r="Q12" s="52"/>
      <c r="R12" s="15"/>
      <c r="S12" s="15"/>
      <c r="T12" s="15"/>
      <c r="U12" s="15"/>
      <c r="V12" s="52"/>
    </row>
    <row r="13" spans="1:22" s="3" customFormat="1" ht="10.9" customHeight="1" x14ac:dyDescent="0.2">
      <c r="A13" s="9" t="s">
        <v>30</v>
      </c>
      <c r="B13" s="52">
        <v>300</v>
      </c>
      <c r="C13" s="15">
        <v>296</v>
      </c>
      <c r="D13" s="15">
        <v>304</v>
      </c>
      <c r="E13" s="15">
        <v>306</v>
      </c>
      <c r="F13" s="14">
        <v>316</v>
      </c>
      <c r="G13" s="52">
        <f>F13</f>
        <v>316</v>
      </c>
      <c r="H13" s="14">
        <v>304</v>
      </c>
      <c r="I13" s="15">
        <v>311</v>
      </c>
      <c r="J13" s="15">
        <v>311</v>
      </c>
      <c r="K13" s="15">
        <v>318</v>
      </c>
      <c r="L13" s="52">
        <f>K13</f>
        <v>318</v>
      </c>
      <c r="M13" s="14">
        <v>307</v>
      </c>
      <c r="N13" s="15">
        <v>304</v>
      </c>
      <c r="O13" s="15">
        <v>290</v>
      </c>
      <c r="P13" s="15">
        <v>287</v>
      </c>
      <c r="Q13" s="52">
        <f>P13</f>
        <v>287</v>
      </c>
      <c r="R13" s="14">
        <v>350</v>
      </c>
      <c r="S13" s="15">
        <v>363</v>
      </c>
      <c r="T13" s="15">
        <v>351</v>
      </c>
      <c r="U13" s="15"/>
      <c r="V13" s="52">
        <f>T13</f>
        <v>351</v>
      </c>
    </row>
    <row r="14" spans="1:22" s="3" customFormat="1" ht="10.9" customHeight="1" x14ac:dyDescent="0.2">
      <c r="A14" s="9" t="s">
        <v>29</v>
      </c>
      <c r="B14" s="52">
        <v>2634</v>
      </c>
      <c r="C14" s="15">
        <v>2644</v>
      </c>
      <c r="D14" s="15">
        <v>2650</v>
      </c>
      <c r="E14" s="15">
        <v>2632</v>
      </c>
      <c r="F14" s="15">
        <v>2642</v>
      </c>
      <c r="G14" s="52">
        <f t="shared" ref="G14:G16" si="6">F14</f>
        <v>2642</v>
      </c>
      <c r="H14" s="15">
        <v>2612</v>
      </c>
      <c r="I14" s="15">
        <v>2638</v>
      </c>
      <c r="J14" s="15">
        <v>2657</v>
      </c>
      <c r="K14" s="15">
        <v>2691</v>
      </c>
      <c r="L14" s="52">
        <f t="shared" ref="L14:L16" si="7">K14</f>
        <v>2691</v>
      </c>
      <c r="M14" s="15">
        <v>2675</v>
      </c>
      <c r="N14" s="15">
        <v>2682</v>
      </c>
      <c r="O14" s="15">
        <v>2671</v>
      </c>
      <c r="P14" s="15">
        <v>2661</v>
      </c>
      <c r="Q14" s="52">
        <f>P14</f>
        <v>2661</v>
      </c>
      <c r="R14" s="15">
        <v>3125</v>
      </c>
      <c r="S14" s="15">
        <v>2695</v>
      </c>
      <c r="T14" s="15">
        <v>2678</v>
      </c>
      <c r="U14" s="15"/>
      <c r="V14" s="52">
        <f>T14</f>
        <v>2678</v>
      </c>
    </row>
    <row r="15" spans="1:22" s="3" customFormat="1" ht="10.9" customHeight="1" x14ac:dyDescent="0.2">
      <c r="A15" s="9" t="s">
        <v>106</v>
      </c>
      <c r="B15" s="52">
        <v>133</v>
      </c>
      <c r="C15" s="15">
        <v>128</v>
      </c>
      <c r="D15" s="15">
        <v>127</v>
      </c>
      <c r="E15" s="15">
        <v>125</v>
      </c>
      <c r="F15" s="15">
        <v>127</v>
      </c>
      <c r="G15" s="52">
        <f>F15</f>
        <v>127</v>
      </c>
      <c r="H15" s="15">
        <v>137</v>
      </c>
      <c r="I15" s="15">
        <v>134</v>
      </c>
      <c r="J15" s="15">
        <v>132</v>
      </c>
      <c r="K15" s="15">
        <v>135</v>
      </c>
      <c r="L15" s="52">
        <f t="shared" si="7"/>
        <v>135</v>
      </c>
      <c r="M15" s="15">
        <v>126</v>
      </c>
      <c r="N15" s="15">
        <v>127</v>
      </c>
      <c r="O15" s="15">
        <v>123</v>
      </c>
      <c r="P15" s="15">
        <v>120</v>
      </c>
      <c r="Q15" s="52">
        <f>P15</f>
        <v>120</v>
      </c>
      <c r="R15" s="15">
        <v>124</v>
      </c>
      <c r="S15" s="15">
        <v>463</v>
      </c>
      <c r="T15" s="15">
        <v>460</v>
      </c>
      <c r="U15" s="15"/>
      <c r="V15" s="52">
        <f>T15</f>
        <v>460</v>
      </c>
    </row>
    <row r="16" spans="1:22" s="16" customFormat="1" ht="10.9" customHeight="1" x14ac:dyDescent="0.2">
      <c r="A16" s="17" t="s">
        <v>31</v>
      </c>
      <c r="B16" s="52">
        <f>229-133</f>
        <v>96</v>
      </c>
      <c r="C16" s="15">
        <f>342-C15</f>
        <v>214</v>
      </c>
      <c r="D16" s="15">
        <f>360-127</f>
        <v>233</v>
      </c>
      <c r="E16" s="15">
        <f>355-125</f>
        <v>230</v>
      </c>
      <c r="F16" s="15">
        <f>385-127</f>
        <v>258</v>
      </c>
      <c r="G16" s="52">
        <f t="shared" si="6"/>
        <v>258</v>
      </c>
      <c r="H16" s="15">
        <f>378-137</f>
        <v>241</v>
      </c>
      <c r="I16" s="15">
        <f>374-134</f>
        <v>240</v>
      </c>
      <c r="J16" s="15">
        <f>378-132</f>
        <v>246</v>
      </c>
      <c r="K16" s="15">
        <f>376-135</f>
        <v>241</v>
      </c>
      <c r="L16" s="52">
        <f t="shared" si="7"/>
        <v>241</v>
      </c>
      <c r="M16" s="15">
        <f>374-126</f>
        <v>248</v>
      </c>
      <c r="N16" s="15">
        <f>370-127</f>
        <v>243</v>
      </c>
      <c r="O16" s="15">
        <f>366-123</f>
        <v>243</v>
      </c>
      <c r="P16" s="15">
        <f>364-120</f>
        <v>244</v>
      </c>
      <c r="Q16" s="52">
        <f>P16</f>
        <v>244</v>
      </c>
      <c r="R16" s="15">
        <f>431-124</f>
        <v>307</v>
      </c>
      <c r="S16" s="15">
        <v>314</v>
      </c>
      <c r="T16" s="15">
        <v>323</v>
      </c>
      <c r="U16" s="15"/>
      <c r="V16" s="52">
        <f>T16</f>
        <v>323</v>
      </c>
    </row>
    <row r="17" spans="1:22" s="6" customFormat="1" ht="10.9" customHeight="1" x14ac:dyDescent="0.25">
      <c r="A17" s="26" t="s">
        <v>32</v>
      </c>
      <c r="B17" s="51">
        <f t="shared" ref="B17:N17" si="8">SUM(B11:B16)</f>
        <v>4972</v>
      </c>
      <c r="C17" s="18">
        <f t="shared" si="8"/>
        <v>5144</v>
      </c>
      <c r="D17" s="18">
        <f t="shared" si="8"/>
        <v>5160</v>
      </c>
      <c r="E17" s="18">
        <f t="shared" si="8"/>
        <v>5133</v>
      </c>
      <c r="F17" s="18">
        <f t="shared" si="8"/>
        <v>5128</v>
      </c>
      <c r="G17" s="51">
        <f t="shared" si="8"/>
        <v>5128</v>
      </c>
      <c r="H17" s="18">
        <f t="shared" si="8"/>
        <v>5287</v>
      </c>
      <c r="I17" s="18">
        <f t="shared" si="8"/>
        <v>5166</v>
      </c>
      <c r="J17" s="18">
        <f t="shared" si="8"/>
        <v>5269</v>
      </c>
      <c r="K17" s="18">
        <f t="shared" si="8"/>
        <v>5610</v>
      </c>
      <c r="L17" s="51">
        <f t="shared" si="8"/>
        <v>5610</v>
      </c>
      <c r="M17" s="18">
        <f t="shared" si="8"/>
        <v>5576</v>
      </c>
      <c r="N17" s="18">
        <f t="shared" si="8"/>
        <v>5712</v>
      </c>
      <c r="O17" s="18">
        <f>O11+SUM(O13:O16)</f>
        <v>5834</v>
      </c>
      <c r="P17" s="18">
        <f>P11+SUM(P13:P16)</f>
        <v>5853</v>
      </c>
      <c r="Q17" s="51">
        <f>P17</f>
        <v>5853</v>
      </c>
      <c r="R17" s="18">
        <f t="shared" ref="R17:S17" si="9">SUM(R11:R16)</f>
        <v>6245</v>
      </c>
      <c r="S17" s="18">
        <f t="shared" si="9"/>
        <v>6316</v>
      </c>
      <c r="T17" s="18">
        <f>T11+SUM(T13:T16)</f>
        <v>6262</v>
      </c>
      <c r="U17" s="18">
        <f>U11+SUM(U13:U16)</f>
        <v>0</v>
      </c>
      <c r="V17" s="51">
        <f>SUM(V11:V16)</f>
        <v>6262</v>
      </c>
    </row>
    <row r="18" spans="1:22" s="6" customFormat="1" ht="10.9" customHeight="1" x14ac:dyDescent="0.25">
      <c r="A18" s="26"/>
      <c r="B18" s="52"/>
      <c r="C18" s="15"/>
      <c r="D18" s="15"/>
      <c r="E18" s="15"/>
      <c r="F18" s="15"/>
      <c r="G18" s="52"/>
      <c r="H18" s="15"/>
      <c r="I18" s="15"/>
      <c r="J18" s="15"/>
      <c r="K18" s="15"/>
      <c r="L18" s="52"/>
      <c r="M18" s="15"/>
      <c r="N18" s="15"/>
      <c r="O18" s="15"/>
      <c r="P18" s="15"/>
      <c r="Q18" s="52"/>
      <c r="R18" s="15"/>
      <c r="S18" s="15"/>
      <c r="T18" s="15"/>
      <c r="U18" s="15"/>
      <c r="V18" s="52"/>
    </row>
    <row r="19" spans="1:22" s="3" customFormat="1" ht="10.9" customHeight="1" x14ac:dyDescent="0.25">
      <c r="A19" s="38" t="s">
        <v>14</v>
      </c>
      <c r="B19" s="52"/>
      <c r="C19" s="14"/>
      <c r="D19" s="14"/>
      <c r="E19" s="14"/>
      <c r="F19" s="14"/>
      <c r="G19" s="52"/>
      <c r="H19" s="14"/>
      <c r="I19" s="14"/>
      <c r="J19" s="14"/>
      <c r="K19" s="14"/>
      <c r="L19" s="52"/>
      <c r="M19" s="14"/>
      <c r="N19" s="14"/>
      <c r="O19" s="14"/>
      <c r="P19" s="14"/>
      <c r="Q19" s="52"/>
      <c r="R19" s="14"/>
      <c r="S19" s="14"/>
      <c r="T19" s="14"/>
      <c r="U19" s="14"/>
      <c r="V19" s="52"/>
    </row>
    <row r="20" spans="1:22" s="3" customFormat="1" ht="10.9" customHeight="1" x14ac:dyDescent="0.2">
      <c r="A20" s="9" t="s">
        <v>33</v>
      </c>
      <c r="B20" s="52"/>
      <c r="C20" s="14"/>
      <c r="D20" s="14"/>
      <c r="E20" s="14"/>
      <c r="F20" s="14"/>
      <c r="G20" s="52"/>
      <c r="H20" s="14"/>
      <c r="I20" s="14"/>
      <c r="J20" s="14"/>
      <c r="K20" s="14"/>
      <c r="L20" s="52"/>
      <c r="M20" s="14"/>
      <c r="N20" s="14"/>
      <c r="O20" s="14"/>
      <c r="P20" s="14"/>
      <c r="Q20" s="52"/>
      <c r="R20" s="14"/>
      <c r="S20" s="14"/>
      <c r="T20" s="14"/>
      <c r="U20" s="14"/>
      <c r="V20" s="52"/>
    </row>
    <row r="21" spans="1:22" s="3" customFormat="1" ht="10.9" customHeight="1" x14ac:dyDescent="0.2">
      <c r="A21" s="10" t="s">
        <v>8</v>
      </c>
      <c r="B21" s="52">
        <v>964</v>
      </c>
      <c r="C21" s="14">
        <v>1013</v>
      </c>
      <c r="D21" s="14">
        <v>1009</v>
      </c>
      <c r="E21" s="14">
        <v>932</v>
      </c>
      <c r="F21" s="15">
        <v>920</v>
      </c>
      <c r="G21" s="52">
        <f>F21</f>
        <v>920</v>
      </c>
      <c r="H21" s="14">
        <v>906</v>
      </c>
      <c r="I21" s="14">
        <v>811</v>
      </c>
      <c r="J21" s="14">
        <v>858</v>
      </c>
      <c r="K21" s="15">
        <v>936</v>
      </c>
      <c r="L21" s="52">
        <f>K21</f>
        <v>936</v>
      </c>
      <c r="M21" s="14">
        <v>908</v>
      </c>
      <c r="N21" s="14">
        <v>915</v>
      </c>
      <c r="O21" s="14">
        <v>905</v>
      </c>
      <c r="P21" s="14">
        <v>883</v>
      </c>
      <c r="Q21" s="52">
        <f>P21</f>
        <v>883</v>
      </c>
      <c r="R21" s="14">
        <v>958</v>
      </c>
      <c r="S21" s="14">
        <v>987</v>
      </c>
      <c r="T21" s="14">
        <v>936</v>
      </c>
      <c r="U21" s="14"/>
      <c r="V21" s="52">
        <f>T21</f>
        <v>936</v>
      </c>
    </row>
    <row r="22" spans="1:22" s="3" customFormat="1" ht="10.9" customHeight="1" x14ac:dyDescent="0.2">
      <c r="A22" s="10" t="s">
        <v>47</v>
      </c>
      <c r="B22" s="52">
        <v>22</v>
      </c>
      <c r="C22" s="14">
        <v>22</v>
      </c>
      <c r="D22" s="14">
        <v>22</v>
      </c>
      <c r="E22" s="14">
        <v>88</v>
      </c>
      <c r="F22" s="15">
        <v>22</v>
      </c>
      <c r="G22" s="52">
        <f t="shared" ref="G22:G23" si="10">F22</f>
        <v>22</v>
      </c>
      <c r="H22" s="14">
        <v>382</v>
      </c>
      <c r="I22" s="14">
        <v>287</v>
      </c>
      <c r="J22" s="14">
        <v>181</v>
      </c>
      <c r="K22" s="15">
        <v>7</v>
      </c>
      <c r="L22" s="52">
        <f t="shared" ref="L22:L23" si="11">K22</f>
        <v>7</v>
      </c>
      <c r="M22" s="14">
        <v>10</v>
      </c>
      <c r="N22" s="14">
        <v>10</v>
      </c>
      <c r="O22" s="14">
        <v>10</v>
      </c>
      <c r="P22" s="14">
        <v>10</v>
      </c>
      <c r="Q22" s="52">
        <f>P22</f>
        <v>10</v>
      </c>
      <c r="R22" s="14">
        <v>12</v>
      </c>
      <c r="S22" s="14">
        <v>12</v>
      </c>
      <c r="T22" s="14">
        <v>12</v>
      </c>
      <c r="U22" s="14"/>
      <c r="V22" s="52">
        <f>T22</f>
        <v>12</v>
      </c>
    </row>
    <row r="23" spans="1:22" s="3" customFormat="1" ht="10.9" customHeight="1" x14ac:dyDescent="0.2">
      <c r="A23" s="10" t="s">
        <v>50</v>
      </c>
      <c r="B23" s="52">
        <v>503</v>
      </c>
      <c r="C23" s="15">
        <v>524</v>
      </c>
      <c r="D23" s="15">
        <v>528</v>
      </c>
      <c r="E23" s="15">
        <v>531</v>
      </c>
      <c r="F23" s="15">
        <v>552</v>
      </c>
      <c r="G23" s="52">
        <f t="shared" si="10"/>
        <v>552</v>
      </c>
      <c r="H23" s="14">
        <v>467</v>
      </c>
      <c r="I23" s="15">
        <v>564</v>
      </c>
      <c r="J23" s="15">
        <v>606</v>
      </c>
      <c r="K23" s="15">
        <v>595</v>
      </c>
      <c r="L23" s="52">
        <f t="shared" si="11"/>
        <v>595</v>
      </c>
      <c r="M23" s="14">
        <v>528</v>
      </c>
      <c r="N23" s="15">
        <v>586</v>
      </c>
      <c r="O23" s="15">
        <v>617</v>
      </c>
      <c r="P23" s="15">
        <v>601</v>
      </c>
      <c r="Q23" s="52">
        <f>P23</f>
        <v>601</v>
      </c>
      <c r="R23" s="14">
        <v>576</v>
      </c>
      <c r="S23" s="15">
        <v>580</v>
      </c>
      <c r="T23" s="15">
        <v>594</v>
      </c>
      <c r="U23" s="15"/>
      <c r="V23" s="52">
        <f>T23</f>
        <v>594</v>
      </c>
    </row>
    <row r="24" spans="1:22" s="16" customFormat="1" ht="10.9" customHeight="1" x14ac:dyDescent="0.2">
      <c r="A24" s="29" t="s">
        <v>74</v>
      </c>
      <c r="B24" s="59">
        <f>SUM(B21:B23)</f>
        <v>1489</v>
      </c>
      <c r="C24" s="30">
        <f>SUM(C21:C23)</f>
        <v>1559</v>
      </c>
      <c r="D24" s="30">
        <f t="shared" ref="D24:N24" si="12">SUM(D21:D23)</f>
        <v>1559</v>
      </c>
      <c r="E24" s="30">
        <f t="shared" si="12"/>
        <v>1551</v>
      </c>
      <c r="F24" s="30">
        <f t="shared" si="12"/>
        <v>1494</v>
      </c>
      <c r="G24" s="59">
        <f t="shared" si="12"/>
        <v>1494</v>
      </c>
      <c r="H24" s="30">
        <f t="shared" si="12"/>
        <v>1755</v>
      </c>
      <c r="I24" s="30">
        <f t="shared" si="12"/>
        <v>1662</v>
      </c>
      <c r="J24" s="30">
        <f t="shared" si="12"/>
        <v>1645</v>
      </c>
      <c r="K24" s="30">
        <f t="shared" si="12"/>
        <v>1538</v>
      </c>
      <c r="L24" s="59">
        <f t="shared" si="12"/>
        <v>1538</v>
      </c>
      <c r="M24" s="30">
        <f t="shared" si="12"/>
        <v>1446</v>
      </c>
      <c r="N24" s="30">
        <f t="shared" si="12"/>
        <v>1511</v>
      </c>
      <c r="O24" s="30">
        <f>SUM(O21:O23)</f>
        <v>1532</v>
      </c>
      <c r="P24" s="30">
        <f>SUM(P21:P23)</f>
        <v>1494</v>
      </c>
      <c r="Q24" s="59">
        <f>P24</f>
        <v>1494</v>
      </c>
      <c r="R24" s="30">
        <f t="shared" ref="R24:S24" si="13">SUM(R21:R23)</f>
        <v>1546</v>
      </c>
      <c r="S24" s="30">
        <f t="shared" si="13"/>
        <v>1579</v>
      </c>
      <c r="T24" s="30">
        <f>SUM(T21:T23)</f>
        <v>1542</v>
      </c>
      <c r="U24" s="30">
        <f>SUM(U21:U23)</f>
        <v>0</v>
      </c>
      <c r="V24" s="59">
        <f>SUM(V21:V23)</f>
        <v>1542</v>
      </c>
    </row>
    <row r="25" spans="1:22" s="3" customFormat="1" ht="10.9" customHeight="1" x14ac:dyDescent="0.2">
      <c r="A25" s="26"/>
      <c r="B25" s="52"/>
      <c r="C25" s="15"/>
      <c r="D25" s="15"/>
      <c r="E25" s="15"/>
      <c r="F25" s="15"/>
      <c r="G25" s="52"/>
      <c r="H25" s="15"/>
      <c r="I25" s="15"/>
      <c r="J25" s="15"/>
      <c r="K25" s="15"/>
      <c r="L25" s="52"/>
      <c r="M25" s="15"/>
      <c r="N25" s="15"/>
      <c r="O25" s="15"/>
      <c r="P25" s="15"/>
      <c r="Q25" s="52"/>
      <c r="R25" s="15"/>
      <c r="S25" s="15"/>
      <c r="T25" s="15"/>
      <c r="U25" s="15"/>
      <c r="V25" s="52"/>
    </row>
    <row r="26" spans="1:22" s="3" customFormat="1" ht="11.65" customHeight="1" x14ac:dyDescent="0.2">
      <c r="A26" s="9" t="s">
        <v>127</v>
      </c>
      <c r="B26" s="52">
        <v>1179</v>
      </c>
      <c r="C26" s="14">
        <v>1174</v>
      </c>
      <c r="D26" s="14">
        <v>1169</v>
      </c>
      <c r="E26" s="14">
        <v>1165</v>
      </c>
      <c r="F26" s="14">
        <v>1158</v>
      </c>
      <c r="G26" s="52">
        <f>F26</f>
        <v>1158</v>
      </c>
      <c r="H26" s="14">
        <v>1149</v>
      </c>
      <c r="I26" s="14">
        <v>1140</v>
      </c>
      <c r="J26" s="14">
        <v>1141</v>
      </c>
      <c r="K26" s="14">
        <v>1155</v>
      </c>
      <c r="L26" s="52">
        <f>K26</f>
        <v>1155</v>
      </c>
      <c r="M26" s="14">
        <v>1186</v>
      </c>
      <c r="N26" s="14">
        <v>1184</v>
      </c>
      <c r="O26" s="14">
        <v>1222</v>
      </c>
      <c r="P26" s="14">
        <v>1220</v>
      </c>
      <c r="Q26" s="52">
        <f>P26</f>
        <v>1220</v>
      </c>
      <c r="R26" s="14">
        <v>1412</v>
      </c>
      <c r="S26" s="14">
        <v>1410</v>
      </c>
      <c r="T26" s="14">
        <v>1407</v>
      </c>
      <c r="U26" s="14"/>
      <c r="V26" s="52">
        <f>T26</f>
        <v>1407</v>
      </c>
    </row>
    <row r="27" spans="1:22" s="3" customFormat="1" ht="10.9" customHeight="1" x14ac:dyDescent="0.2">
      <c r="A27" s="9" t="s">
        <v>51</v>
      </c>
      <c r="B27" s="52">
        <v>629</v>
      </c>
      <c r="C27" s="14">
        <v>580</v>
      </c>
      <c r="D27" s="14">
        <v>581</v>
      </c>
      <c r="E27" s="14">
        <v>580</v>
      </c>
      <c r="F27" s="14">
        <v>594</v>
      </c>
      <c r="G27" s="52">
        <f>F27</f>
        <v>594</v>
      </c>
      <c r="H27" s="14">
        <v>592</v>
      </c>
      <c r="I27" s="14">
        <v>585</v>
      </c>
      <c r="J27" s="14">
        <v>586</v>
      </c>
      <c r="K27" s="14">
        <v>590</v>
      </c>
      <c r="L27" s="52">
        <f>K27</f>
        <v>590</v>
      </c>
      <c r="M27" s="14">
        <v>583</v>
      </c>
      <c r="N27" s="14">
        <v>584</v>
      </c>
      <c r="O27" s="14">
        <v>587</v>
      </c>
      <c r="P27" s="14">
        <v>585</v>
      </c>
      <c r="Q27" s="52">
        <f>P27</f>
        <v>585</v>
      </c>
      <c r="R27" s="14">
        <v>592</v>
      </c>
      <c r="S27" s="14">
        <v>601</v>
      </c>
      <c r="T27" s="14">
        <v>575</v>
      </c>
      <c r="U27" s="14"/>
      <c r="V27" s="52">
        <f>T27</f>
        <v>575</v>
      </c>
    </row>
    <row r="28" spans="1:22" s="3" customFormat="1" ht="10.9" customHeight="1" x14ac:dyDescent="0.2">
      <c r="A28" s="9" t="s">
        <v>20</v>
      </c>
      <c r="B28" s="52">
        <v>142</v>
      </c>
      <c r="C28" s="14">
        <v>239</v>
      </c>
      <c r="D28" s="14">
        <v>258</v>
      </c>
      <c r="E28" s="14">
        <v>264</v>
      </c>
      <c r="F28" s="14">
        <v>280</v>
      </c>
      <c r="G28" s="52">
        <f>F28</f>
        <v>280</v>
      </c>
      <c r="H28" s="14">
        <v>270</v>
      </c>
      <c r="I28" s="14">
        <v>284</v>
      </c>
      <c r="J28" s="14">
        <v>292</v>
      </c>
      <c r="K28" s="14">
        <v>334</v>
      </c>
      <c r="L28" s="52">
        <f>K28</f>
        <v>334</v>
      </c>
      <c r="M28" s="14">
        <v>329</v>
      </c>
      <c r="N28" s="14">
        <v>330</v>
      </c>
      <c r="O28" s="14">
        <v>335</v>
      </c>
      <c r="P28" s="14">
        <v>302</v>
      </c>
      <c r="Q28" s="52">
        <f>P28</f>
        <v>302</v>
      </c>
      <c r="R28" s="14">
        <v>334</v>
      </c>
      <c r="S28" s="14">
        <v>332</v>
      </c>
      <c r="T28" s="14">
        <v>338</v>
      </c>
      <c r="U28" s="14"/>
      <c r="V28" s="52">
        <f>T28</f>
        <v>338</v>
      </c>
    </row>
    <row r="29" spans="1:22" s="3" customFormat="1" ht="10.9" customHeight="1" x14ac:dyDescent="0.2">
      <c r="A29" s="26" t="s">
        <v>73</v>
      </c>
      <c r="B29" s="51">
        <f>SUM(B24:B28)</f>
        <v>3439</v>
      </c>
      <c r="C29" s="18">
        <f>SUM(C24:C28)</f>
        <v>3552</v>
      </c>
      <c r="D29" s="18">
        <f t="shared" ref="D29:P29" si="14">SUM(D24:D28)</f>
        <v>3567</v>
      </c>
      <c r="E29" s="18">
        <f t="shared" si="14"/>
        <v>3560</v>
      </c>
      <c r="F29" s="18">
        <f t="shared" si="14"/>
        <v>3526</v>
      </c>
      <c r="G29" s="51">
        <f t="shared" si="14"/>
        <v>3526</v>
      </c>
      <c r="H29" s="18">
        <f t="shared" si="14"/>
        <v>3766</v>
      </c>
      <c r="I29" s="18">
        <f t="shared" si="14"/>
        <v>3671</v>
      </c>
      <c r="J29" s="18">
        <f t="shared" si="14"/>
        <v>3664</v>
      </c>
      <c r="K29" s="18">
        <f t="shared" si="14"/>
        <v>3617</v>
      </c>
      <c r="L29" s="51">
        <f t="shared" si="14"/>
        <v>3617</v>
      </c>
      <c r="M29" s="18">
        <f t="shared" si="14"/>
        <v>3544</v>
      </c>
      <c r="N29" s="18">
        <f t="shared" si="14"/>
        <v>3609</v>
      </c>
      <c r="O29" s="18">
        <f t="shared" si="14"/>
        <v>3676</v>
      </c>
      <c r="P29" s="18">
        <f t="shared" si="14"/>
        <v>3601</v>
      </c>
      <c r="Q29" s="51">
        <f>P29</f>
        <v>3601</v>
      </c>
      <c r="R29" s="18">
        <f t="shared" ref="R29:U29" si="15">SUM(R24:R28)</f>
        <v>3884</v>
      </c>
      <c r="S29" s="18">
        <f t="shared" si="15"/>
        <v>3922</v>
      </c>
      <c r="T29" s="18">
        <f t="shared" si="15"/>
        <v>3862</v>
      </c>
      <c r="U29" s="18">
        <f t="shared" si="15"/>
        <v>0</v>
      </c>
      <c r="V29" s="51">
        <f>SUM(V24:V28)</f>
        <v>3862</v>
      </c>
    </row>
    <row r="30" spans="1:22" s="3" customFormat="1" ht="10.9" customHeight="1" x14ac:dyDescent="0.2">
      <c r="A30" s="26"/>
      <c r="B30" s="52"/>
      <c r="C30" s="15"/>
      <c r="D30" s="15"/>
      <c r="E30" s="15"/>
      <c r="F30" s="15"/>
      <c r="G30" s="52"/>
      <c r="H30" s="15"/>
      <c r="I30" s="15"/>
      <c r="J30" s="15"/>
      <c r="K30" s="15"/>
      <c r="L30" s="52"/>
      <c r="M30" s="15"/>
      <c r="N30" s="15"/>
      <c r="O30" s="15"/>
      <c r="P30" s="15"/>
      <c r="Q30" s="52"/>
      <c r="R30" s="15"/>
      <c r="S30" s="15"/>
      <c r="T30" s="15"/>
      <c r="U30" s="15"/>
      <c r="V30" s="52"/>
    </row>
    <row r="31" spans="1:22" s="3" customFormat="1" ht="10.9" customHeight="1" x14ac:dyDescent="0.2">
      <c r="A31" s="26"/>
      <c r="B31" s="52"/>
      <c r="C31" s="15"/>
      <c r="D31" s="15"/>
      <c r="E31" s="15"/>
      <c r="F31" s="15"/>
      <c r="G31" s="52"/>
      <c r="H31" s="15"/>
      <c r="I31" s="15"/>
      <c r="J31" s="15"/>
      <c r="K31" s="15"/>
      <c r="L31" s="52"/>
      <c r="M31" s="15"/>
      <c r="N31" s="15"/>
      <c r="O31" s="15"/>
      <c r="P31" s="15"/>
      <c r="Q31" s="52"/>
      <c r="R31" s="15"/>
      <c r="S31" s="15"/>
      <c r="T31" s="15"/>
      <c r="U31" s="15"/>
      <c r="V31" s="52"/>
    </row>
    <row r="32" spans="1:22" s="3" customFormat="1" ht="11.65" customHeight="1" x14ac:dyDescent="0.2">
      <c r="A32" s="9" t="s">
        <v>48</v>
      </c>
      <c r="B32" s="52"/>
      <c r="C32" s="14"/>
      <c r="D32" s="14"/>
      <c r="E32" s="14"/>
      <c r="F32" s="14"/>
      <c r="G32" s="52"/>
      <c r="H32" s="14"/>
      <c r="I32" s="14"/>
      <c r="J32" s="14"/>
      <c r="K32" s="14"/>
      <c r="L32" s="52"/>
      <c r="M32" s="14"/>
      <c r="N32" s="14"/>
      <c r="O32" s="14"/>
      <c r="P32" s="14"/>
      <c r="Q32" s="52"/>
      <c r="R32" s="14"/>
      <c r="S32" s="14"/>
      <c r="T32" s="14"/>
      <c r="U32" s="14"/>
      <c r="V32" s="52"/>
    </row>
    <row r="33" spans="1:22" s="3" customFormat="1" ht="10.9" customHeight="1" x14ac:dyDescent="0.2">
      <c r="A33" s="10" t="s">
        <v>121</v>
      </c>
      <c r="B33" s="52">
        <v>0</v>
      </c>
      <c r="C33" s="15">
        <v>0</v>
      </c>
      <c r="D33" s="15">
        <v>0</v>
      </c>
      <c r="E33" s="15">
        <v>0</v>
      </c>
      <c r="F33" s="14">
        <v>0</v>
      </c>
      <c r="G33" s="52">
        <f>F33</f>
        <v>0</v>
      </c>
      <c r="H33" s="14">
        <v>0</v>
      </c>
      <c r="I33" s="15">
        <v>0</v>
      </c>
      <c r="J33" s="15">
        <v>0</v>
      </c>
      <c r="K33" s="14">
        <v>0</v>
      </c>
      <c r="L33" s="52">
        <f>K33</f>
        <v>0</v>
      </c>
      <c r="M33" s="14">
        <v>0</v>
      </c>
      <c r="N33" s="15">
        <v>0</v>
      </c>
      <c r="O33" s="15">
        <v>0</v>
      </c>
      <c r="P33" s="15">
        <v>0</v>
      </c>
      <c r="Q33" s="52">
        <f>P33</f>
        <v>0</v>
      </c>
      <c r="R33" s="14">
        <v>0</v>
      </c>
      <c r="S33" s="15">
        <v>0</v>
      </c>
      <c r="T33" s="15">
        <v>0</v>
      </c>
      <c r="U33" s="15"/>
      <c r="V33" s="52">
        <f>T33</f>
        <v>0</v>
      </c>
    </row>
    <row r="34" spans="1:22" s="3" customFormat="1" ht="10.9" customHeight="1" x14ac:dyDescent="0.2">
      <c r="A34" s="10" t="s">
        <v>15</v>
      </c>
      <c r="B34" s="52">
        <v>1720</v>
      </c>
      <c r="C34" s="15">
        <v>1727</v>
      </c>
      <c r="D34" s="15">
        <v>1743</v>
      </c>
      <c r="E34" s="15">
        <v>1751</v>
      </c>
      <c r="F34" s="14">
        <v>1761</v>
      </c>
      <c r="G34" s="52">
        <f>F34</f>
        <v>1761</v>
      </c>
      <c r="H34" s="14">
        <v>1768</v>
      </c>
      <c r="I34" s="15">
        <v>1775</v>
      </c>
      <c r="J34" s="15">
        <v>1782</v>
      </c>
      <c r="K34" s="14">
        <v>2070</v>
      </c>
      <c r="L34" s="52">
        <f>K34</f>
        <v>2070</v>
      </c>
      <c r="M34" s="14">
        <v>2088</v>
      </c>
      <c r="N34" s="15">
        <v>2098</v>
      </c>
      <c r="O34" s="15">
        <v>2111</v>
      </c>
      <c r="P34" s="15">
        <v>2121</v>
      </c>
      <c r="Q34" s="52">
        <f>P34</f>
        <v>2121</v>
      </c>
      <c r="R34" s="14">
        <v>2135</v>
      </c>
      <c r="S34" s="15">
        <v>2147</v>
      </c>
      <c r="T34" s="15">
        <v>2162</v>
      </c>
      <c r="U34" s="15"/>
      <c r="V34" s="52">
        <f>T34</f>
        <v>2162</v>
      </c>
    </row>
    <row r="35" spans="1:22" s="3" customFormat="1" ht="10.9" customHeight="1" x14ac:dyDescent="0.2">
      <c r="A35" s="10" t="s">
        <v>96</v>
      </c>
      <c r="B35" s="52">
        <v>2</v>
      </c>
      <c r="C35" s="14">
        <v>50</v>
      </c>
      <c r="D35" s="14">
        <v>39</v>
      </c>
      <c r="E35" s="14">
        <v>47</v>
      </c>
      <c r="F35" s="14">
        <v>38</v>
      </c>
      <c r="G35" s="52">
        <f>F35</f>
        <v>38</v>
      </c>
      <c r="H35" s="14">
        <v>17</v>
      </c>
      <c r="I35" s="14">
        <v>-59</v>
      </c>
      <c r="J35" s="14">
        <v>16</v>
      </c>
      <c r="K35" s="14">
        <v>75</v>
      </c>
      <c r="L35" s="52">
        <f>K35</f>
        <v>75</v>
      </c>
      <c r="M35" s="14">
        <v>124</v>
      </c>
      <c r="N35" s="14">
        <v>182</v>
      </c>
      <c r="O35" s="14">
        <v>250</v>
      </c>
      <c r="P35" s="14">
        <v>317</v>
      </c>
      <c r="Q35" s="52">
        <f>P35</f>
        <v>317</v>
      </c>
      <c r="R35" s="14">
        <v>404</v>
      </c>
      <c r="S35" s="14">
        <v>498</v>
      </c>
      <c r="T35" s="14">
        <v>561</v>
      </c>
      <c r="U35" s="14"/>
      <c r="V35" s="52">
        <f>T35</f>
        <v>561</v>
      </c>
    </row>
    <row r="36" spans="1:22" s="3" customFormat="1" ht="10.9" customHeight="1" x14ac:dyDescent="0.2">
      <c r="A36" s="10" t="s">
        <v>9</v>
      </c>
      <c r="B36" s="52">
        <v>-189</v>
      </c>
      <c r="C36" s="14">
        <v>-183</v>
      </c>
      <c r="D36" s="14">
        <v>-187</v>
      </c>
      <c r="E36" s="14">
        <v>-222</v>
      </c>
      <c r="F36" s="14">
        <v>-194</v>
      </c>
      <c r="G36" s="52">
        <f t="shared" ref="G36" si="16">F36</f>
        <v>-194</v>
      </c>
      <c r="H36" s="14">
        <v>-260</v>
      </c>
      <c r="I36" s="14">
        <v>-216</v>
      </c>
      <c r="J36" s="14">
        <v>-188</v>
      </c>
      <c r="K36" s="14">
        <v>-146</v>
      </c>
      <c r="L36" s="52">
        <f t="shared" ref="L36" si="17">K36</f>
        <v>-146</v>
      </c>
      <c r="M36" s="14">
        <v>-170</v>
      </c>
      <c r="N36" s="14">
        <v>-163</v>
      </c>
      <c r="O36" s="14">
        <v>-187</v>
      </c>
      <c r="P36" s="14">
        <v>-165</v>
      </c>
      <c r="Q36" s="52">
        <f>P36</f>
        <v>-165</v>
      </c>
      <c r="R36" s="14">
        <v>-151</v>
      </c>
      <c r="S36" s="14">
        <v>-220</v>
      </c>
      <c r="T36" s="14">
        <v>-292</v>
      </c>
      <c r="U36" s="14"/>
      <c r="V36" s="52">
        <f>T36</f>
        <v>-292</v>
      </c>
    </row>
    <row r="37" spans="1:22" s="3" customFormat="1" ht="10.9" customHeight="1" x14ac:dyDescent="0.2">
      <c r="A37" s="10" t="s">
        <v>122</v>
      </c>
      <c r="B37" s="52">
        <v>0</v>
      </c>
      <c r="C37" s="15">
        <v>-2</v>
      </c>
      <c r="D37" s="15">
        <v>-2</v>
      </c>
      <c r="E37" s="15">
        <v>-3</v>
      </c>
      <c r="F37" s="14">
        <v>-3</v>
      </c>
      <c r="G37" s="52">
        <f>F37</f>
        <v>-3</v>
      </c>
      <c r="H37" s="14">
        <v>-4</v>
      </c>
      <c r="I37" s="15">
        <v>-5</v>
      </c>
      <c r="J37" s="15">
        <v>-5</v>
      </c>
      <c r="K37" s="14">
        <v>-6</v>
      </c>
      <c r="L37" s="52">
        <f>K37</f>
        <v>-6</v>
      </c>
      <c r="M37" s="14">
        <v>-10</v>
      </c>
      <c r="N37" s="15">
        <v>-14</v>
      </c>
      <c r="O37" s="15">
        <v>-16</v>
      </c>
      <c r="P37" s="15">
        <v>-21</v>
      </c>
      <c r="Q37" s="52">
        <f>P37</f>
        <v>-21</v>
      </c>
      <c r="R37" s="14">
        <v>-27</v>
      </c>
      <c r="S37" s="15">
        <v>-31</v>
      </c>
      <c r="T37" s="15">
        <v>-31</v>
      </c>
      <c r="U37" s="15"/>
      <c r="V37" s="52">
        <f>T37</f>
        <v>-31</v>
      </c>
    </row>
    <row r="38" spans="1:22" s="3" customFormat="1" ht="10.9" customHeight="1" x14ac:dyDescent="0.2">
      <c r="A38" s="26" t="s">
        <v>97</v>
      </c>
      <c r="B38" s="59">
        <f t="shared" ref="B38:N38" si="18">SUM(B33:B37)</f>
        <v>1533</v>
      </c>
      <c r="C38" s="30">
        <f t="shared" si="18"/>
        <v>1592</v>
      </c>
      <c r="D38" s="30">
        <f t="shared" si="18"/>
        <v>1593</v>
      </c>
      <c r="E38" s="30">
        <f t="shared" si="18"/>
        <v>1573</v>
      </c>
      <c r="F38" s="30">
        <f t="shared" si="18"/>
        <v>1602</v>
      </c>
      <c r="G38" s="59">
        <f t="shared" si="18"/>
        <v>1602</v>
      </c>
      <c r="H38" s="30">
        <f t="shared" si="18"/>
        <v>1521</v>
      </c>
      <c r="I38" s="30">
        <f t="shared" si="18"/>
        <v>1495</v>
      </c>
      <c r="J38" s="30">
        <f t="shared" si="18"/>
        <v>1605</v>
      </c>
      <c r="K38" s="30">
        <f t="shared" si="18"/>
        <v>1993</v>
      </c>
      <c r="L38" s="59">
        <f t="shared" si="18"/>
        <v>1993</v>
      </c>
      <c r="M38" s="30">
        <f t="shared" si="18"/>
        <v>2032</v>
      </c>
      <c r="N38" s="30">
        <f t="shared" si="18"/>
        <v>2103</v>
      </c>
      <c r="O38" s="30">
        <f>SUM(O32:O37)</f>
        <v>2158</v>
      </c>
      <c r="P38" s="30">
        <f>SUM(P32:P37)</f>
        <v>2252</v>
      </c>
      <c r="Q38" s="59">
        <f t="shared" ref="Q38" si="19">P38</f>
        <v>2252</v>
      </c>
      <c r="R38" s="30">
        <f>SUM(R33:R37)</f>
        <v>2361</v>
      </c>
      <c r="S38" s="30">
        <f>SUM(S33:S37)</f>
        <v>2394</v>
      </c>
      <c r="T38" s="30">
        <f>SUM(T32:T37)</f>
        <v>2400</v>
      </c>
      <c r="U38" s="30">
        <f>SUM(U32:U37)</f>
        <v>0</v>
      </c>
      <c r="V38" s="59">
        <f>SUM(V34:V37)</f>
        <v>2400</v>
      </c>
    </row>
    <row r="39" spans="1:22" s="3" customFormat="1" ht="10.9" customHeight="1" x14ac:dyDescent="0.2">
      <c r="A39" s="26"/>
      <c r="B39" s="52"/>
      <c r="C39" s="15"/>
      <c r="D39" s="15"/>
      <c r="E39" s="15"/>
      <c r="F39" s="15"/>
      <c r="G39" s="52"/>
      <c r="H39" s="15"/>
      <c r="I39" s="15"/>
      <c r="J39" s="15"/>
      <c r="K39" s="15"/>
      <c r="L39" s="52"/>
      <c r="M39" s="15"/>
      <c r="N39" s="15"/>
      <c r="O39" s="15"/>
      <c r="P39" s="15"/>
      <c r="Q39" s="52"/>
      <c r="R39" s="15"/>
      <c r="S39" s="15"/>
      <c r="T39" s="15"/>
      <c r="U39" s="15"/>
      <c r="V39" s="52"/>
    </row>
    <row r="40" spans="1:22" s="3" customFormat="1" ht="10.9" customHeight="1" thickBot="1" x14ac:dyDescent="0.25">
      <c r="A40" s="9" t="s">
        <v>34</v>
      </c>
      <c r="B40" s="53">
        <f t="shared" ref="B40:V40" si="20">B29+B38</f>
        <v>4972</v>
      </c>
      <c r="C40" s="20">
        <f t="shared" si="20"/>
        <v>5144</v>
      </c>
      <c r="D40" s="20">
        <f t="shared" si="20"/>
        <v>5160</v>
      </c>
      <c r="E40" s="20">
        <f t="shared" si="20"/>
        <v>5133</v>
      </c>
      <c r="F40" s="20">
        <f t="shared" si="20"/>
        <v>5128</v>
      </c>
      <c r="G40" s="53">
        <f t="shared" si="20"/>
        <v>5128</v>
      </c>
      <c r="H40" s="20">
        <f t="shared" si="20"/>
        <v>5287</v>
      </c>
      <c r="I40" s="20">
        <f t="shared" si="20"/>
        <v>5166</v>
      </c>
      <c r="J40" s="20">
        <f t="shared" si="20"/>
        <v>5269</v>
      </c>
      <c r="K40" s="20">
        <f t="shared" si="20"/>
        <v>5610</v>
      </c>
      <c r="L40" s="53">
        <f t="shared" si="20"/>
        <v>5610</v>
      </c>
      <c r="M40" s="20">
        <f t="shared" si="20"/>
        <v>5576</v>
      </c>
      <c r="N40" s="20">
        <f t="shared" si="20"/>
        <v>5712</v>
      </c>
      <c r="O40" s="20">
        <f t="shared" si="20"/>
        <v>5834</v>
      </c>
      <c r="P40" s="20">
        <f t="shared" si="20"/>
        <v>5853</v>
      </c>
      <c r="Q40" s="53">
        <f t="shared" si="20"/>
        <v>5853</v>
      </c>
      <c r="R40" s="20">
        <f t="shared" si="20"/>
        <v>6245</v>
      </c>
      <c r="S40" s="20">
        <f t="shared" si="20"/>
        <v>6316</v>
      </c>
      <c r="T40" s="20">
        <f t="shared" si="20"/>
        <v>6262</v>
      </c>
      <c r="U40" s="20">
        <f t="shared" si="20"/>
        <v>0</v>
      </c>
      <c r="V40" s="53">
        <f t="shared" si="20"/>
        <v>6262</v>
      </c>
    </row>
    <row r="41" spans="1:22" s="3" customFormat="1" ht="10.9" customHeight="1" thickTop="1" x14ac:dyDescent="0.2">
      <c r="A41" s="26"/>
      <c r="B41" s="52">
        <f t="shared" ref="B41:S41" si="21">B17-B40</f>
        <v>0</v>
      </c>
      <c r="C41" s="15">
        <f t="shared" si="21"/>
        <v>0</v>
      </c>
      <c r="D41" s="15">
        <f t="shared" si="21"/>
        <v>0</v>
      </c>
      <c r="E41" s="15">
        <f t="shared" si="21"/>
        <v>0</v>
      </c>
      <c r="F41" s="15">
        <f t="shared" si="21"/>
        <v>0</v>
      </c>
      <c r="G41" s="52">
        <f t="shared" si="21"/>
        <v>0</v>
      </c>
      <c r="H41" s="15">
        <f t="shared" si="21"/>
        <v>0</v>
      </c>
      <c r="I41" s="15">
        <f t="shared" si="21"/>
        <v>0</v>
      </c>
      <c r="J41" s="15">
        <f t="shared" si="21"/>
        <v>0</v>
      </c>
      <c r="K41" s="15">
        <f t="shared" si="21"/>
        <v>0</v>
      </c>
      <c r="L41" s="52">
        <f t="shared" si="21"/>
        <v>0</v>
      </c>
      <c r="M41" s="15">
        <f t="shared" si="21"/>
        <v>0</v>
      </c>
      <c r="N41" s="15">
        <f t="shared" si="21"/>
        <v>0</v>
      </c>
      <c r="O41" s="15">
        <f t="shared" si="21"/>
        <v>0</v>
      </c>
      <c r="P41" s="15">
        <f t="shared" si="21"/>
        <v>0</v>
      </c>
      <c r="Q41" s="52">
        <f t="shared" si="21"/>
        <v>0</v>
      </c>
      <c r="R41" s="15">
        <f t="shared" si="21"/>
        <v>0</v>
      </c>
      <c r="S41" s="15">
        <f t="shared" si="21"/>
        <v>0</v>
      </c>
      <c r="T41" s="15"/>
      <c r="U41" s="15"/>
      <c r="V41" s="52">
        <f>V17-V40</f>
        <v>0</v>
      </c>
    </row>
    <row r="42" spans="1:22" s="3" customFormat="1" ht="10.9" customHeight="1" x14ac:dyDescent="0.2">
      <c r="A42" s="9"/>
      <c r="B42" s="52"/>
      <c r="C42" s="67"/>
      <c r="D42" s="67"/>
      <c r="E42" s="67"/>
      <c r="F42" s="15"/>
      <c r="G42" s="52"/>
      <c r="H42" s="67"/>
      <c r="I42" s="67"/>
      <c r="J42" s="67"/>
      <c r="K42" s="15"/>
      <c r="L42" s="52"/>
      <c r="M42" s="67"/>
      <c r="N42" s="67"/>
      <c r="O42" s="67"/>
      <c r="P42" s="15"/>
      <c r="Q42" s="52"/>
      <c r="R42" s="67"/>
      <c r="S42" s="67"/>
      <c r="T42" s="67"/>
      <c r="U42" s="15"/>
      <c r="V42" s="52"/>
    </row>
    <row r="43" spans="1:22" s="3" customFormat="1" ht="10.9" customHeight="1" x14ac:dyDescent="0.2">
      <c r="A43" s="9" t="s">
        <v>76</v>
      </c>
      <c r="B43" s="52"/>
      <c r="C43" s="15">
        <f>C8/('Income Statement'!C5/('Balance Sheet'!C4-'Balance Sheet'!B4))</f>
        <v>61.33388157894737</v>
      </c>
      <c r="D43" s="15">
        <f>D8/('Income Statement'!D5/('Balance Sheet'!D4-'Balance Sheet'!C4))</f>
        <v>61.179549114331728</v>
      </c>
      <c r="E43" s="15">
        <f>E8/('Income Statement'!E5/('Balance Sheet'!E4-'Balance Sheet'!D4))</f>
        <v>62.720228384991842</v>
      </c>
      <c r="F43" s="15">
        <f>F8/('Income Statement'!F5/('Balance Sheet'!F4-'Balance Sheet'!E4))</f>
        <v>58.894171779141104</v>
      </c>
      <c r="G43" s="52"/>
      <c r="H43" s="15">
        <f>H8/('Income Statement'!H5/('Balance Sheet'!H4-'Balance Sheet'!G4))</f>
        <v>61.204410517387615</v>
      </c>
      <c r="I43" s="15">
        <f>I8/('Income Statement'!I5/('Balance Sheet'!I4-'Balance Sheet'!H4))</f>
        <v>62.258503401360542</v>
      </c>
      <c r="J43" s="15">
        <f>J8/('Income Statement'!J5/('Balance Sheet'!J4-'Balance Sheet'!I4))</f>
        <v>59.063142437591779</v>
      </c>
      <c r="K43" s="15">
        <f>K8/('Income Statement'!K5/('Balance Sheet'!K4-'Balance Sheet'!J4))</f>
        <v>55.195203197868089</v>
      </c>
      <c r="L43" s="52"/>
      <c r="M43" s="15">
        <f>M8/('Income Statement'!M5/('Balance Sheet'!M4-'Balance Sheet'!L4))</f>
        <v>57.346723044397464</v>
      </c>
      <c r="N43" s="15">
        <f>N8/('Income Statement'!N5/('Balance Sheet'!N4-'Balance Sheet'!M4))</f>
        <v>55.142180094786731</v>
      </c>
      <c r="O43" s="15">
        <f>O8/('Income Statement'!O5/('Balance Sheet'!O4-'Balance Sheet'!N4))</f>
        <v>56.69251336898396</v>
      </c>
      <c r="P43" s="15">
        <f>P8/('Income Statement'!P5/('Balance Sheet'!P4-'Balance Sheet'!O4))</f>
        <v>54.222833562585969</v>
      </c>
      <c r="Q43" s="52"/>
      <c r="R43" s="15">
        <f>R8/('Income Statement'!R5/('Balance Sheet'!R4-'Balance Sheet'!Q4))</f>
        <v>61.577689243027891</v>
      </c>
      <c r="S43" s="15">
        <f>S8/('Income Statement'!S5/('Balance Sheet'!S4-'Balance Sheet'!R4))</f>
        <v>57.913997627520757</v>
      </c>
      <c r="T43" s="15">
        <f>T8/('Income Statement'!T5/('Balance Sheet'!T4-'Balance Sheet'!S4))</f>
        <v>58.660692212608154</v>
      </c>
      <c r="U43" s="15" t="e">
        <f>U8/('Income Statement'!U5/('Balance Sheet'!U4-'Balance Sheet'!T4))</f>
        <v>#DIV/0!</v>
      </c>
      <c r="V43" s="52"/>
    </row>
    <row r="44" spans="1:22" s="3" customFormat="1" ht="10.9" customHeight="1" x14ac:dyDescent="0.2">
      <c r="A44" s="9" t="s">
        <v>77</v>
      </c>
      <c r="B44" s="52"/>
      <c r="C44" s="15">
        <f>C9/'Income Statement'!C6*('Balance Sheet'!C$4-'Balance Sheet'!B$4)</f>
        <v>70.896590909090918</v>
      </c>
      <c r="D44" s="15">
        <f>D9/'Income Statement'!D6*('Balance Sheet'!D$4-'Balance Sheet'!C$4)</f>
        <v>71.884026258205679</v>
      </c>
      <c r="E44" s="15">
        <f>E9/'Income Statement'!E6*('Balance Sheet'!E$4-'Balance Sheet'!D$4)</f>
        <v>72.74013157894737</v>
      </c>
      <c r="F44" s="15">
        <f>F9/'Income Statement'!F6*('Balance Sheet'!F$4-'Balance Sheet'!E$4)</f>
        <v>64.29561671763507</v>
      </c>
      <c r="G44" s="52"/>
      <c r="H44" s="15">
        <f>H9/'Income Statement'!H6*('Balance Sheet'!H$4-'Balance Sheet'!G$4)</f>
        <v>66.346067415730332</v>
      </c>
      <c r="I44" s="15">
        <f>I9/'Income Statement'!I6*('Balance Sheet'!I$4-'Balance Sheet'!H$4)</f>
        <v>70.996188055908505</v>
      </c>
      <c r="J44" s="15">
        <f>J9/'Income Statement'!J6*('Balance Sheet'!J$4-'Balance Sheet'!I$4)</f>
        <v>56.978723404255319</v>
      </c>
      <c r="K44" s="15">
        <f>K9/'Income Statement'!K6*('Balance Sheet'!K$4-'Balance Sheet'!J$4)</f>
        <v>60.12301957129543</v>
      </c>
      <c r="L44" s="52"/>
      <c r="M44" s="15">
        <f>M9/'Income Statement'!M6*('Balance Sheet'!M$4-'Balance Sheet'!L$4)</f>
        <v>60.66379310344827</v>
      </c>
      <c r="N44" s="15">
        <f>N9/'Income Statement'!N6*('Balance Sheet'!N$4-'Balance Sheet'!M$4)</f>
        <v>57.052245646196155</v>
      </c>
      <c r="O44" s="15">
        <f>O9/'Income Statement'!O6*('Balance Sheet'!O$4-'Balance Sheet'!N$4)</f>
        <v>60.102325581395348</v>
      </c>
      <c r="P44" s="15">
        <f>P9/'Income Statement'!P6*('Balance Sheet'!P$4-'Balance Sheet'!O$4)</f>
        <v>63.247863247863251</v>
      </c>
      <c r="Q44" s="52"/>
      <c r="R44" s="15">
        <f>R9/'Income Statement'!R6*('Balance Sheet'!R$4-'Balance Sheet'!Q$4)</f>
        <v>79.423220973782776</v>
      </c>
      <c r="S44" s="15">
        <f>S9/'Income Statement'!S6*('Balance Sheet'!S$4-'Balance Sheet'!R$4)</f>
        <v>72.486464315012299</v>
      </c>
      <c r="T44" s="15">
        <f>T9/'Income Statement'!T6*('Balance Sheet'!T$4-'Balance Sheet'!S$4)</f>
        <v>73.305555555555557</v>
      </c>
      <c r="U44" s="15" t="e">
        <f>U9/'Income Statement'!U6*('Balance Sheet'!U$4-'Balance Sheet'!T$4)</f>
        <v>#DIV/0!</v>
      </c>
      <c r="V44" s="52"/>
    </row>
    <row r="45" spans="1:22" s="3" customFormat="1" ht="10.9" customHeight="1" x14ac:dyDescent="0.2">
      <c r="A45" s="9" t="s">
        <v>78</v>
      </c>
      <c r="B45" s="52"/>
      <c r="C45" s="15">
        <f>C21/'Income Statement'!C6*('Balance Sheet'!C$4-'Balance Sheet'!B$4)</f>
        <v>102.45113636363637</v>
      </c>
      <c r="D45" s="15">
        <f>D21/'Income Statement'!D6*('Balance Sheet'!D$4-'Balance Sheet'!C$4)</f>
        <v>100.45842450765865</v>
      </c>
      <c r="E45" s="15">
        <f>E21/'Income Statement'!E6*('Balance Sheet'!E$4-'Balance Sheet'!D$4)</f>
        <v>92.995614035087712</v>
      </c>
      <c r="F45" s="15">
        <f>F21/'Income Statement'!F6*('Balance Sheet'!F$4-'Balance Sheet'!E$4)</f>
        <v>88.154943934760453</v>
      </c>
      <c r="G45" s="52"/>
      <c r="H45" s="15">
        <f>H21/'Income Statement'!H6*('Balance Sheet'!H$4-'Balance Sheet'!G$4)</f>
        <v>89.582022471910122</v>
      </c>
      <c r="I45" s="15">
        <f>I21/'Income Statement'!I6*('Balance Sheet'!I$4-'Balance Sheet'!H$4)</f>
        <v>93.775095298602295</v>
      </c>
      <c r="J45" s="15">
        <f>J21/'Income Statement'!J6*('Balance Sheet'!J$4-'Balance Sheet'!I$4)</f>
        <v>79.106382978723403</v>
      </c>
      <c r="K45" s="15">
        <f>K21/'Income Statement'!K6*('Balance Sheet'!K$4-'Balance Sheet'!J$4)</f>
        <v>83.742777260018642</v>
      </c>
      <c r="L45" s="52"/>
      <c r="M45" s="15">
        <f>M21/'Income Statement'!M6*('Balance Sheet'!M$4-'Balance Sheet'!L$4)</f>
        <v>80.885057471264375</v>
      </c>
      <c r="N45" s="15">
        <f>N21/'Income Statement'!N6*('Balance Sheet'!N$4-'Balance Sheet'!M$4)</f>
        <v>76.319890009165903</v>
      </c>
      <c r="O45" s="15">
        <f>O21/'Income Statement'!O6*('Balance Sheet'!O$4-'Balance Sheet'!N$4)</f>
        <v>76.609302325581396</v>
      </c>
      <c r="P45" s="15">
        <f>P21/'Income Statement'!P6*('Balance Sheet'!P$4-'Balance Sheet'!O$4)</f>
        <v>75.470085470085479</v>
      </c>
      <c r="Q45" s="52"/>
      <c r="R45" s="15">
        <f>R21/'Income Statement'!R6*('Balance Sheet'!R$4-'Balance Sheet'!Q$4)</f>
        <v>82.524344569288388</v>
      </c>
      <c r="S45" s="15">
        <f>S21/'Income Statement'!S6*('Balance Sheet'!S$4-'Balance Sheet'!R$4)</f>
        <v>73.680885972108285</v>
      </c>
      <c r="T45" s="15">
        <f>T21/'Income Statement'!T6*('Balance Sheet'!T$4-'Balance Sheet'!S$4)</f>
        <v>71.696969696969688</v>
      </c>
      <c r="U45" s="15" t="e">
        <f>U21/'Income Statement'!U6*('Balance Sheet'!U$4-'Balance Sheet'!T$4)</f>
        <v>#DIV/0!</v>
      </c>
      <c r="V45" s="52"/>
    </row>
    <row r="46" spans="1:22" s="3" customFormat="1" ht="10.9" customHeight="1" thickBot="1" x14ac:dyDescent="0.25">
      <c r="A46" s="9" t="s">
        <v>79</v>
      </c>
      <c r="B46" s="93"/>
      <c r="C46" s="30">
        <f t="shared" ref="C46" si="22">C43+C44-C45</f>
        <v>29.779336124401922</v>
      </c>
      <c r="D46" s="30">
        <f t="shared" ref="D46" si="23">D43+D44-D45</f>
        <v>32.605150864878752</v>
      </c>
      <c r="E46" s="30">
        <f t="shared" ref="E46:F46" si="24">E43+E44-E45</f>
        <v>42.464745928851485</v>
      </c>
      <c r="F46" s="30">
        <f t="shared" si="24"/>
        <v>35.034844562015721</v>
      </c>
      <c r="G46" s="93"/>
      <c r="H46" s="30">
        <f t="shared" ref="H46:I46" si="25">H43+H44-H45</f>
        <v>37.968455461207824</v>
      </c>
      <c r="I46" s="30">
        <f t="shared" si="25"/>
        <v>39.479596158666752</v>
      </c>
      <c r="J46" s="30">
        <f t="shared" ref="J46" si="26">J43+J44-J45</f>
        <v>36.935482863123696</v>
      </c>
      <c r="K46" s="30">
        <f>K43+K44-K45</f>
        <v>31.575445509144885</v>
      </c>
      <c r="L46" s="93"/>
      <c r="M46" s="30">
        <f t="shared" ref="M46:P46" si="27">M43+M44-M45</f>
        <v>37.12545867658136</v>
      </c>
      <c r="N46" s="30">
        <f t="shared" si="27"/>
        <v>35.874535731816991</v>
      </c>
      <c r="O46" s="30">
        <f t="shared" si="27"/>
        <v>40.185536624797905</v>
      </c>
      <c r="P46" s="30">
        <f t="shared" si="27"/>
        <v>42.000611340363747</v>
      </c>
      <c r="Q46" s="93"/>
      <c r="R46" s="30">
        <f t="shared" ref="R46:U46" si="28">R43+R44-R45</f>
        <v>58.476565647522278</v>
      </c>
      <c r="S46" s="30">
        <f t="shared" si="28"/>
        <v>56.719575970424785</v>
      </c>
      <c r="T46" s="30">
        <f t="shared" si="28"/>
        <v>60.269278071194037</v>
      </c>
      <c r="U46" s="30" t="e">
        <f t="shared" si="28"/>
        <v>#DIV/0!</v>
      </c>
      <c r="V46" s="93"/>
    </row>
    <row r="47" spans="1:22" s="16" customFormat="1" ht="10.9" customHeight="1" x14ac:dyDescent="0.2">
      <c r="A47" s="17"/>
      <c r="C47" s="15"/>
      <c r="D47" s="67"/>
      <c r="E47" s="15"/>
      <c r="F47" s="15"/>
      <c r="H47" s="15"/>
      <c r="I47" s="67"/>
      <c r="J47" s="67"/>
      <c r="K47" s="15"/>
      <c r="M47" s="15"/>
      <c r="N47" s="67"/>
      <c r="O47" s="67"/>
      <c r="P47" s="15"/>
    </row>
    <row r="48" spans="1:22" s="3" customFormat="1" ht="10.9" customHeight="1" x14ac:dyDescent="0.2"/>
    <row r="49" s="3" customFormat="1" ht="10.9" customHeight="1" x14ac:dyDescent="0.2"/>
    <row r="50" s="3" customFormat="1" ht="10.9" customHeight="1" x14ac:dyDescent="0.2"/>
    <row r="51" s="3" customFormat="1" ht="10.9" customHeight="1" x14ac:dyDescent="0.2"/>
    <row r="52" s="3" customFormat="1" ht="10.9" customHeight="1" x14ac:dyDescent="0.2"/>
    <row r="53" s="3" customFormat="1" ht="10.9" customHeight="1" x14ac:dyDescent="0.2"/>
    <row r="54" s="3" customFormat="1" ht="10.9" customHeight="1" x14ac:dyDescent="0.2"/>
    <row r="55" s="3" customFormat="1" ht="10.9" customHeight="1" x14ac:dyDescent="0.2"/>
    <row r="56" s="3" customFormat="1" ht="10.9" customHeight="1" x14ac:dyDescent="0.2"/>
    <row r="57" s="3" customFormat="1" ht="10.9" customHeight="1" x14ac:dyDescent="0.2"/>
    <row r="58" s="3" customFormat="1" ht="10.9" customHeight="1" x14ac:dyDescent="0.2"/>
    <row r="59" s="3" customFormat="1" ht="10.9" customHeight="1" x14ac:dyDescent="0.2"/>
    <row r="60" s="3" customFormat="1" ht="10.9" customHeight="1" x14ac:dyDescent="0.2"/>
    <row r="61" s="3" customFormat="1" ht="10.9" customHeight="1" x14ac:dyDescent="0.2"/>
    <row r="62" s="3" customFormat="1" ht="10.9" customHeight="1" x14ac:dyDescent="0.2"/>
    <row r="63" s="3" customFormat="1" ht="10.9" customHeight="1" x14ac:dyDescent="0.2"/>
    <row r="64" s="3" customFormat="1" ht="10.9" customHeight="1" x14ac:dyDescent="0.2"/>
    <row r="65" s="3" customFormat="1" ht="10.9" customHeight="1" x14ac:dyDescent="0.2"/>
    <row r="66" s="3" customFormat="1" ht="10.9" customHeight="1" x14ac:dyDescent="0.2"/>
    <row r="67" s="3" customFormat="1" ht="10.9" customHeight="1" x14ac:dyDescent="0.2"/>
    <row r="68" s="3" customFormat="1" ht="10.9" customHeight="1" x14ac:dyDescent="0.2"/>
    <row r="69" s="3" customFormat="1" ht="10.9" customHeight="1" x14ac:dyDescent="0.2"/>
    <row r="70" s="3" customFormat="1" ht="10.9" customHeight="1" x14ac:dyDescent="0.2"/>
    <row r="71" s="3" customFormat="1" ht="10.9" customHeight="1" x14ac:dyDescent="0.2"/>
    <row r="72" s="3" customFormat="1" ht="10.9" customHeight="1" x14ac:dyDescent="0.2"/>
    <row r="73" s="3" customFormat="1" ht="10.9" customHeight="1" x14ac:dyDescent="0.2"/>
    <row r="74" s="3" customFormat="1" ht="10.9" customHeight="1" x14ac:dyDescent="0.2"/>
    <row r="75" s="3" customFormat="1" ht="10.9" customHeight="1" x14ac:dyDescent="0.2"/>
    <row r="76" s="3" customFormat="1" ht="10.9" customHeight="1" x14ac:dyDescent="0.2"/>
    <row r="77" s="3" customFormat="1" ht="10.9" customHeight="1" x14ac:dyDescent="0.2"/>
    <row r="78" s="3" customFormat="1" ht="10.9" customHeight="1" x14ac:dyDescent="0.2"/>
    <row r="79" s="3" customFormat="1" ht="10.9" customHeight="1" x14ac:dyDescent="0.2"/>
    <row r="80" s="3" customFormat="1" ht="10.9" customHeight="1" x14ac:dyDescent="0.2"/>
    <row r="81" s="3" customFormat="1" ht="10.9" customHeight="1" x14ac:dyDescent="0.2"/>
    <row r="82" s="3" customFormat="1" ht="10.9" customHeight="1" x14ac:dyDescent="0.2"/>
    <row r="83" s="3" customFormat="1" ht="10.9" customHeight="1" x14ac:dyDescent="0.2"/>
    <row r="84" s="3" customFormat="1" ht="10.9" customHeight="1" x14ac:dyDescent="0.2"/>
    <row r="85" s="3" customFormat="1" ht="10.9" customHeight="1" x14ac:dyDescent="0.2"/>
    <row r="86" s="3" customFormat="1" ht="10.9" customHeight="1" x14ac:dyDescent="0.2"/>
    <row r="87" s="3" customFormat="1" ht="10.9" customHeight="1" x14ac:dyDescent="0.2"/>
    <row r="88" s="3" customFormat="1" ht="10.9" customHeight="1" x14ac:dyDescent="0.2"/>
    <row r="89" s="3" customFormat="1" ht="10.9" customHeight="1" x14ac:dyDescent="0.2"/>
    <row r="90" s="3" customFormat="1" ht="10.9" customHeight="1" x14ac:dyDescent="0.2"/>
    <row r="91" s="3" customFormat="1" ht="10.9" customHeight="1" x14ac:dyDescent="0.2"/>
    <row r="92" s="3" customFormat="1" ht="10.9" customHeight="1" x14ac:dyDescent="0.2"/>
    <row r="93" s="3" customFormat="1" ht="10.9" customHeight="1" x14ac:dyDescent="0.2"/>
    <row r="94" s="3" customFormat="1" ht="10.9" customHeight="1" x14ac:dyDescent="0.2"/>
    <row r="95" s="3" customFormat="1" ht="10.9" customHeight="1" x14ac:dyDescent="0.2"/>
    <row r="96" s="3" customFormat="1" ht="10.9" customHeight="1" x14ac:dyDescent="0.2"/>
    <row r="97" s="3" customFormat="1" ht="10.9" customHeight="1" x14ac:dyDescent="0.2"/>
    <row r="98" s="3" customFormat="1" ht="10.9" customHeight="1" x14ac:dyDescent="0.2"/>
    <row r="99" s="3" customFormat="1" ht="10.9" customHeight="1" x14ac:dyDescent="0.2"/>
    <row r="100" s="3" customFormat="1" ht="10.9" customHeight="1" x14ac:dyDescent="0.2"/>
    <row r="101" s="3" customFormat="1" ht="10.9" customHeight="1" x14ac:dyDescent="0.2"/>
    <row r="102" s="3" customFormat="1" ht="10.9" customHeight="1" x14ac:dyDescent="0.2"/>
    <row r="103" s="3" customFormat="1" ht="10.9" customHeight="1" x14ac:dyDescent="0.2"/>
    <row r="104" s="3" customFormat="1" ht="10.9" customHeight="1" x14ac:dyDescent="0.2"/>
    <row r="105" s="3" customFormat="1" ht="10.9" customHeight="1" x14ac:dyDescent="0.2"/>
    <row r="106" s="3" customFormat="1" ht="10.9" customHeight="1" x14ac:dyDescent="0.2"/>
    <row r="107" s="3" customFormat="1" ht="10.9" customHeight="1" x14ac:dyDescent="0.2"/>
    <row r="108" s="3" customFormat="1" ht="10.9" customHeight="1" x14ac:dyDescent="0.2"/>
    <row r="109" s="3" customFormat="1" ht="10.9" customHeight="1" x14ac:dyDescent="0.2"/>
    <row r="110" s="3" customFormat="1" ht="10.9" customHeight="1" x14ac:dyDescent="0.2"/>
    <row r="111" s="3" customFormat="1" ht="10.9" customHeight="1" x14ac:dyDescent="0.2"/>
    <row r="112" s="3" customFormat="1" ht="10.9" customHeight="1" x14ac:dyDescent="0.2"/>
    <row r="113" s="3" customFormat="1" ht="10.9" customHeight="1" x14ac:dyDescent="0.2"/>
    <row r="114" s="3" customFormat="1" ht="10.9" customHeight="1" x14ac:dyDescent="0.2"/>
    <row r="115" s="3" customFormat="1" ht="10.9" customHeight="1" x14ac:dyDescent="0.2"/>
    <row r="116" s="3" customFormat="1" ht="10.9" customHeight="1" x14ac:dyDescent="0.2"/>
    <row r="117" s="3" customFormat="1" ht="10.9" customHeight="1" x14ac:dyDescent="0.2"/>
    <row r="118" s="3" customFormat="1" ht="10.9" customHeight="1" x14ac:dyDescent="0.2"/>
    <row r="119" s="3" customFormat="1" ht="10.9" customHeight="1" x14ac:dyDescent="0.2"/>
    <row r="120" s="3" customFormat="1" ht="10.9" customHeight="1" x14ac:dyDescent="0.2"/>
    <row r="121" s="3" customFormat="1" ht="10.9" customHeight="1" x14ac:dyDescent="0.2"/>
    <row r="122" s="3" customFormat="1" ht="10.9" customHeight="1" x14ac:dyDescent="0.2"/>
    <row r="123" s="3" customFormat="1" ht="10.9" customHeight="1" x14ac:dyDescent="0.2"/>
    <row r="124" s="3" customFormat="1" ht="10.9" customHeight="1" x14ac:dyDescent="0.2"/>
    <row r="125" s="3" customFormat="1" ht="10.9" customHeight="1" x14ac:dyDescent="0.2"/>
    <row r="126" s="3" customFormat="1" ht="10.9" customHeight="1" x14ac:dyDescent="0.2"/>
    <row r="127" s="3" customFormat="1" ht="10.9" customHeight="1" x14ac:dyDescent="0.2"/>
    <row r="128" s="3" customFormat="1" ht="10.9" customHeight="1" x14ac:dyDescent="0.2"/>
    <row r="129" s="3" customFormat="1" ht="10.9" customHeight="1" x14ac:dyDescent="0.2"/>
    <row r="130" s="3" customFormat="1" ht="10.9" customHeight="1" x14ac:dyDescent="0.2"/>
  </sheetData>
  <mergeCells count="8">
    <mergeCell ref="C1:G1"/>
    <mergeCell ref="C3:F3"/>
    <mergeCell ref="R3:U3"/>
    <mergeCell ref="M1:Q1"/>
    <mergeCell ref="M3:P3"/>
    <mergeCell ref="H1:L1"/>
    <mergeCell ref="H3:K3"/>
    <mergeCell ref="R1:V1"/>
  </mergeCells>
  <phoneticPr fontId="5" type="noConversion"/>
  <printOptions horizontalCentered="1"/>
  <pageMargins left="0.25" right="0.25" top="0.75" bottom="0.75" header="0.3" footer="0.3"/>
  <pageSetup scale="57" orientation="landscape" r:id="rId1"/>
  <headerFooter alignWithMargins="0"/>
  <ignoredErrors>
    <ignoredError sqref="G14 B31:B32 G22:G23 B39 G41:G45 G12 G18:G20 G25:G27 G39 G9:G10 G16 B41:B49 G30:G32" formula="1"/>
    <ignoredError sqref="C18:D20 C12:D12 C25:D25 C30:D30" formulaRange="1"/>
    <ignoredError sqref="B12 B18:B20 B25 B30" formula="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V135"/>
  <sheetViews>
    <sheetView view="pageBreakPreview" topLeftCell="C1" zoomScale="85" zoomScaleNormal="100" zoomScaleSheetLayoutView="85" workbookViewId="0">
      <selection activeCell="A50" sqref="A50:XFD50"/>
    </sheetView>
  </sheetViews>
  <sheetFormatPr defaultColWidth="9.81640625" defaultRowHeight="10.9" customHeight="1" outlineLevelCol="1" x14ac:dyDescent="0.2"/>
  <cols>
    <col min="1" max="1" width="67.26953125" style="1" bestFit="1" customWidth="1"/>
    <col min="2" max="2" width="9.81640625" style="1" customWidth="1"/>
    <col min="3" max="6" width="9.81640625" style="1" customWidth="1" outlineLevel="1"/>
    <col min="7" max="7" width="9.81640625" style="1" customWidth="1"/>
    <col min="8" max="11" width="9.81640625" style="1" customWidth="1" outlineLevel="1"/>
    <col min="12" max="12" width="9.81640625" style="1" customWidth="1"/>
    <col min="13" max="16" width="9.81640625" style="1" customWidth="1" outlineLevel="1"/>
    <col min="17" max="17" width="9.81640625" style="1" customWidth="1"/>
    <col min="18" max="18" width="9.81640625" style="1"/>
    <col min="19" max="20" width="9.81640625" style="1" customWidth="1"/>
    <col min="21" max="21" width="9.81640625" style="1" hidden="1" customWidth="1"/>
    <col min="22" max="22" width="16.26953125" style="1" bestFit="1" customWidth="1"/>
    <col min="23" max="16384" width="9.81640625" style="1"/>
  </cols>
  <sheetData>
    <row r="1" spans="1:22" s="3" customFormat="1" ht="10.9" customHeight="1" thickBot="1" x14ac:dyDescent="0.3">
      <c r="A1" s="27" t="s">
        <v>44</v>
      </c>
      <c r="B1" s="89" t="s">
        <v>99</v>
      </c>
      <c r="C1" s="105" t="s">
        <v>23</v>
      </c>
      <c r="D1" s="106"/>
      <c r="E1" s="106"/>
      <c r="F1" s="106"/>
      <c r="G1" s="107"/>
      <c r="H1" s="105" t="s">
        <v>42</v>
      </c>
      <c r="I1" s="106"/>
      <c r="J1" s="106"/>
      <c r="K1" s="106"/>
      <c r="L1" s="107"/>
      <c r="M1" s="105" t="s">
        <v>43</v>
      </c>
      <c r="N1" s="106"/>
      <c r="O1" s="106"/>
      <c r="P1" s="106"/>
      <c r="Q1" s="107"/>
      <c r="R1" s="105" t="s">
        <v>102</v>
      </c>
      <c r="S1" s="106"/>
      <c r="T1" s="106"/>
      <c r="U1" s="106"/>
      <c r="V1" s="107"/>
    </row>
    <row r="2" spans="1:22" s="3" customFormat="1" ht="10.9" customHeight="1" thickBot="1" x14ac:dyDescent="0.3">
      <c r="A2" s="3" t="s">
        <v>35</v>
      </c>
      <c r="D2" s="4"/>
      <c r="I2" s="4"/>
      <c r="N2" s="4"/>
      <c r="S2" s="4"/>
    </row>
    <row r="3" spans="1:22" s="3" customFormat="1" ht="10.9" customHeight="1" x14ac:dyDescent="0.25">
      <c r="A3" s="3" t="s">
        <v>61</v>
      </c>
      <c r="B3" s="47" t="s">
        <v>100</v>
      </c>
      <c r="C3" s="108" t="s">
        <v>144</v>
      </c>
      <c r="D3" s="108"/>
      <c r="E3" s="108"/>
      <c r="F3" s="108"/>
      <c r="G3" s="47" t="s">
        <v>100</v>
      </c>
      <c r="H3" s="108" t="s">
        <v>144</v>
      </c>
      <c r="I3" s="108"/>
      <c r="J3" s="108"/>
      <c r="K3" s="108"/>
      <c r="L3" s="47" t="s">
        <v>100</v>
      </c>
      <c r="M3" s="108" t="s">
        <v>144</v>
      </c>
      <c r="N3" s="108"/>
      <c r="O3" s="108"/>
      <c r="P3" s="108"/>
      <c r="Q3" s="47" t="s">
        <v>100</v>
      </c>
      <c r="R3" s="108" t="s">
        <v>144</v>
      </c>
      <c r="S3" s="108"/>
      <c r="T3" s="108"/>
      <c r="U3" s="108"/>
      <c r="V3" s="47" t="s">
        <v>134</v>
      </c>
    </row>
    <row r="4" spans="1:22" s="6" customFormat="1" ht="10.9" customHeight="1" x14ac:dyDescent="0.25">
      <c r="A4" s="9"/>
      <c r="B4" s="48">
        <v>43465</v>
      </c>
      <c r="C4" s="5">
        <v>43554</v>
      </c>
      <c r="D4" s="5">
        <v>43645</v>
      </c>
      <c r="E4" s="5">
        <v>43736</v>
      </c>
      <c r="F4" s="5">
        <v>43830</v>
      </c>
      <c r="G4" s="48">
        <v>43830</v>
      </c>
      <c r="H4" s="5">
        <v>43918</v>
      </c>
      <c r="I4" s="5">
        <v>44009</v>
      </c>
      <c r="J4" s="5">
        <v>44100</v>
      </c>
      <c r="K4" s="5">
        <v>44196</v>
      </c>
      <c r="L4" s="48">
        <v>44196</v>
      </c>
      <c r="M4" s="5">
        <v>44289</v>
      </c>
      <c r="N4" s="5">
        <v>44380</v>
      </c>
      <c r="O4" s="5">
        <v>44471</v>
      </c>
      <c r="P4" s="5">
        <v>44561</v>
      </c>
      <c r="Q4" s="48">
        <v>44561</v>
      </c>
      <c r="R4" s="5">
        <v>44653</v>
      </c>
      <c r="S4" s="5">
        <v>44744</v>
      </c>
      <c r="T4" s="5">
        <f>'Income Statement'!T4</f>
        <v>44835</v>
      </c>
      <c r="U4" s="5">
        <v>44561</v>
      </c>
      <c r="V4" s="48">
        <v>44835</v>
      </c>
    </row>
    <row r="5" spans="1:22" s="6" customFormat="1" ht="10.9" customHeight="1" x14ac:dyDescent="0.25">
      <c r="A5" s="38" t="s">
        <v>37</v>
      </c>
      <c r="B5" s="57"/>
      <c r="C5" s="7"/>
      <c r="D5" s="7"/>
      <c r="E5" s="8"/>
      <c r="F5" s="8"/>
      <c r="G5" s="57"/>
      <c r="H5" s="7"/>
      <c r="I5" s="7"/>
      <c r="J5" s="8"/>
      <c r="K5" s="8"/>
      <c r="L5" s="57"/>
      <c r="M5" s="7"/>
      <c r="N5" s="7"/>
      <c r="O5" s="8"/>
      <c r="P5" s="8"/>
      <c r="Q5" s="57"/>
      <c r="R5" s="7"/>
      <c r="S5" s="7"/>
      <c r="T5" s="8"/>
      <c r="U5" s="8"/>
      <c r="V5" s="57"/>
    </row>
    <row r="6" spans="1:22" s="6" customFormat="1" ht="10.9" customHeight="1" x14ac:dyDescent="0.25">
      <c r="A6" s="10" t="s">
        <v>5</v>
      </c>
      <c r="B6" s="49">
        <v>405</v>
      </c>
      <c r="C6" s="11">
        <f>'Income Statement'!C16</f>
        <v>48</v>
      </c>
      <c r="D6" s="11">
        <f>'Income Statement'!D16+C6</f>
        <v>37</v>
      </c>
      <c r="E6" s="11">
        <f>'Income Statement'!E16+'Income Statement'!D16+'Income Statement'!C16</f>
        <v>45</v>
      </c>
      <c r="F6" s="11">
        <f>'Income Statement'!F16+E6</f>
        <v>36</v>
      </c>
      <c r="G6" s="49">
        <f>F6</f>
        <v>36</v>
      </c>
      <c r="H6" s="11">
        <f>'Income Statement'!H16</f>
        <v>-21</v>
      </c>
      <c r="I6" s="11">
        <f>'Income Statement'!I16+H6</f>
        <v>-97</v>
      </c>
      <c r="J6" s="11">
        <f>'Income Statement'!J16+I6</f>
        <v>-22</v>
      </c>
      <c r="K6" s="11">
        <f>'Income Statement'!K16+J6</f>
        <v>37</v>
      </c>
      <c r="L6" s="49">
        <f>K6</f>
        <v>37</v>
      </c>
      <c r="M6" s="11">
        <f>'Income Statement'!M16</f>
        <v>49</v>
      </c>
      <c r="N6" s="11">
        <f>'Income Statement'!N16+M6</f>
        <v>107</v>
      </c>
      <c r="O6" s="11">
        <f>'Income Statement'!O16+N6</f>
        <v>175</v>
      </c>
      <c r="P6" s="11">
        <f>'Income Statement'!P16+O6</f>
        <v>242</v>
      </c>
      <c r="Q6" s="49">
        <f>P6</f>
        <v>242</v>
      </c>
      <c r="R6" s="11">
        <f>'Income Statement'!R16</f>
        <v>87</v>
      </c>
      <c r="S6" s="11">
        <f>'Income Statement'!S16+'Income Statement'!R16</f>
        <v>181</v>
      </c>
      <c r="T6" s="11">
        <f>'Income Statement'!T16+'Income Statement'!S16+'Income Statement'!R16</f>
        <v>244</v>
      </c>
      <c r="U6" s="11"/>
      <c r="V6" s="49">
        <f>T6</f>
        <v>244</v>
      </c>
    </row>
    <row r="7" spans="1:22" s="16" customFormat="1" ht="10.9" customHeight="1" x14ac:dyDescent="0.2">
      <c r="A7" s="12" t="s">
        <v>6</v>
      </c>
      <c r="B7" s="52"/>
      <c r="C7" s="15"/>
      <c r="D7" s="15"/>
      <c r="E7" s="15"/>
      <c r="F7" s="15"/>
      <c r="G7" s="52"/>
      <c r="H7" s="15"/>
      <c r="I7" s="15"/>
      <c r="J7" s="15"/>
      <c r="K7" s="15"/>
      <c r="L7" s="52"/>
      <c r="M7" s="15"/>
      <c r="N7" s="15"/>
      <c r="O7" s="15"/>
      <c r="P7" s="15"/>
      <c r="Q7" s="52"/>
      <c r="R7" s="15"/>
      <c r="S7" s="15"/>
      <c r="T7" s="15"/>
      <c r="U7" s="15"/>
      <c r="V7" s="52"/>
    </row>
    <row r="8" spans="1:22" s="16" customFormat="1" ht="10.9" customHeight="1" x14ac:dyDescent="0.2">
      <c r="A8" s="29" t="s">
        <v>7</v>
      </c>
      <c r="B8" s="52">
        <v>66</v>
      </c>
      <c r="C8" s="15">
        <v>16</v>
      </c>
      <c r="D8" s="15">
        <v>36</v>
      </c>
      <c r="E8" s="15">
        <v>55</v>
      </c>
      <c r="F8" s="15">
        <v>80</v>
      </c>
      <c r="G8" s="52">
        <f>F8</f>
        <v>80</v>
      </c>
      <c r="H8" s="15">
        <v>21</v>
      </c>
      <c r="I8" s="15">
        <v>42</v>
      </c>
      <c r="J8" s="15">
        <v>64</v>
      </c>
      <c r="K8" s="15">
        <v>86</v>
      </c>
      <c r="L8" s="52">
        <f>K8</f>
        <v>86</v>
      </c>
      <c r="M8" s="15">
        <v>23</v>
      </c>
      <c r="N8" s="15">
        <v>45</v>
      </c>
      <c r="O8" s="15">
        <v>67</v>
      </c>
      <c r="P8" s="15">
        <v>88</v>
      </c>
      <c r="Q8" s="52">
        <f t="shared" ref="Q8:Q21" si="0">P8</f>
        <v>88</v>
      </c>
      <c r="R8" s="15">
        <v>20</v>
      </c>
      <c r="S8" s="15">
        <v>45</v>
      </c>
      <c r="T8" s="15">
        <v>69</v>
      </c>
      <c r="U8" s="15"/>
      <c r="V8" s="52">
        <f>T8</f>
        <v>69</v>
      </c>
    </row>
    <row r="9" spans="1:22" s="16" customFormat="1" ht="10.9" customHeight="1" x14ac:dyDescent="0.2">
      <c r="A9" s="29" t="s">
        <v>118</v>
      </c>
      <c r="B9" s="52">
        <v>20</v>
      </c>
      <c r="C9" s="15">
        <v>7</v>
      </c>
      <c r="D9" s="15">
        <v>14</v>
      </c>
      <c r="E9" s="15">
        <v>22</v>
      </c>
      <c r="F9" s="15">
        <v>25</v>
      </c>
      <c r="G9" s="52">
        <f t="shared" ref="G9:G14" si="1">F9</f>
        <v>25</v>
      </c>
      <c r="H9" s="15">
        <v>7</v>
      </c>
      <c r="I9" s="15">
        <v>14</v>
      </c>
      <c r="J9" s="15">
        <v>21</v>
      </c>
      <c r="K9" s="15">
        <v>29</v>
      </c>
      <c r="L9" s="52">
        <f t="shared" ref="L9:L14" si="2">K9</f>
        <v>29</v>
      </c>
      <c r="M9" s="15">
        <v>9</v>
      </c>
      <c r="N9" s="15">
        <v>19</v>
      </c>
      <c r="O9" s="15">
        <v>29</v>
      </c>
      <c r="P9" s="15">
        <v>39</v>
      </c>
      <c r="Q9" s="52">
        <f t="shared" si="0"/>
        <v>39</v>
      </c>
      <c r="R9" s="15">
        <v>11</v>
      </c>
      <c r="S9" s="15">
        <v>22</v>
      </c>
      <c r="T9" s="15">
        <v>36</v>
      </c>
      <c r="U9" s="15"/>
      <c r="V9" s="52">
        <f t="shared" ref="V9:V20" si="3">T9</f>
        <v>36</v>
      </c>
    </row>
    <row r="10" spans="1:22" s="16" customFormat="1" ht="10.9" customHeight="1" x14ac:dyDescent="0.2">
      <c r="A10" s="29" t="s">
        <v>16</v>
      </c>
      <c r="B10" s="52">
        <v>-323</v>
      </c>
      <c r="C10" s="15">
        <v>0</v>
      </c>
      <c r="D10" s="15">
        <v>0</v>
      </c>
      <c r="E10" s="15">
        <v>0</v>
      </c>
      <c r="F10" s="15">
        <v>-25</v>
      </c>
      <c r="G10" s="52">
        <f t="shared" si="1"/>
        <v>-25</v>
      </c>
      <c r="H10" s="15">
        <v>0</v>
      </c>
      <c r="I10" s="15">
        <v>0</v>
      </c>
      <c r="J10" s="15">
        <v>0</v>
      </c>
      <c r="K10" s="15">
        <v>22</v>
      </c>
      <c r="L10" s="52">
        <f t="shared" si="2"/>
        <v>22</v>
      </c>
      <c r="M10" s="15">
        <v>0</v>
      </c>
      <c r="N10" s="15">
        <v>0</v>
      </c>
      <c r="O10" s="15">
        <v>0</v>
      </c>
      <c r="P10" s="15">
        <v>6</v>
      </c>
      <c r="Q10" s="52">
        <f t="shared" si="0"/>
        <v>6</v>
      </c>
      <c r="R10" s="15">
        <v>0</v>
      </c>
      <c r="S10" s="15">
        <v>0</v>
      </c>
      <c r="T10" s="15">
        <v>0</v>
      </c>
      <c r="U10" s="15"/>
      <c r="V10" s="52">
        <f t="shared" si="3"/>
        <v>0</v>
      </c>
    </row>
    <row r="11" spans="1:22" s="16" customFormat="1" ht="10.9" customHeight="1" x14ac:dyDescent="0.2">
      <c r="A11" s="29" t="s">
        <v>95</v>
      </c>
      <c r="B11" s="52">
        <v>0</v>
      </c>
      <c r="C11" s="15">
        <v>0</v>
      </c>
      <c r="D11" s="15">
        <v>0</v>
      </c>
      <c r="E11" s="15">
        <v>0</v>
      </c>
      <c r="F11" s="15">
        <v>0</v>
      </c>
      <c r="G11" s="52">
        <v>0</v>
      </c>
      <c r="H11" s="15">
        <v>0</v>
      </c>
      <c r="I11" s="15">
        <v>0</v>
      </c>
      <c r="J11" s="15">
        <v>0</v>
      </c>
      <c r="K11" s="15">
        <v>0</v>
      </c>
      <c r="L11" s="52">
        <v>0</v>
      </c>
      <c r="M11" s="15">
        <v>23</v>
      </c>
      <c r="N11" s="15">
        <v>23</v>
      </c>
      <c r="O11" s="15">
        <v>41</v>
      </c>
      <c r="P11" s="15">
        <v>41</v>
      </c>
      <c r="Q11" s="52">
        <f t="shared" si="0"/>
        <v>41</v>
      </c>
      <c r="R11" s="15">
        <v>0</v>
      </c>
      <c r="S11" s="15">
        <v>0</v>
      </c>
      <c r="T11" s="15">
        <v>0</v>
      </c>
      <c r="U11" s="15"/>
      <c r="V11" s="52">
        <f t="shared" si="3"/>
        <v>0</v>
      </c>
    </row>
    <row r="12" spans="1:22" s="16" customFormat="1" ht="10.9" customHeight="1" x14ac:dyDescent="0.2">
      <c r="A12" s="29" t="s">
        <v>120</v>
      </c>
      <c r="B12" s="52">
        <v>22</v>
      </c>
      <c r="C12" s="15">
        <v>3</v>
      </c>
      <c r="D12" s="15">
        <f>6+14</f>
        <v>20</v>
      </c>
      <c r="E12" s="15">
        <f>10+12</f>
        <v>22</v>
      </c>
      <c r="F12" s="15">
        <f>18+6</f>
        <v>24</v>
      </c>
      <c r="G12" s="52">
        <f t="shared" si="1"/>
        <v>24</v>
      </c>
      <c r="H12" s="15">
        <v>17</v>
      </c>
      <c r="I12" s="15">
        <v>27</v>
      </c>
      <c r="J12" s="15">
        <v>24</v>
      </c>
      <c r="K12" s="15">
        <v>26</v>
      </c>
      <c r="L12" s="52">
        <f t="shared" si="2"/>
        <v>26</v>
      </c>
      <c r="M12" s="15">
        <f>25-M11-6</f>
        <v>-4</v>
      </c>
      <c r="N12" s="15">
        <f>-5-2-9+2</f>
        <v>-14</v>
      </c>
      <c r="O12" s="15">
        <f>28-41+3</f>
        <v>-10</v>
      </c>
      <c r="P12" s="15">
        <f>26-41+3</f>
        <v>-12</v>
      </c>
      <c r="Q12" s="52">
        <f t="shared" si="0"/>
        <v>-12</v>
      </c>
      <c r="R12" s="15">
        <f>2</f>
        <v>2</v>
      </c>
      <c r="S12" s="15">
        <v>-5</v>
      </c>
      <c r="T12" s="15">
        <v>8</v>
      </c>
      <c r="U12" s="15"/>
      <c r="V12" s="52">
        <f t="shared" si="3"/>
        <v>8</v>
      </c>
    </row>
    <row r="13" spans="1:22" s="16" customFormat="1" ht="10.9" customHeight="1" x14ac:dyDescent="0.2">
      <c r="A13" s="12" t="s">
        <v>128</v>
      </c>
      <c r="B13" s="52"/>
      <c r="C13" s="15"/>
      <c r="D13" s="15"/>
      <c r="E13" s="15"/>
      <c r="F13" s="15"/>
      <c r="G13" s="52"/>
      <c r="H13" s="15"/>
      <c r="I13" s="15"/>
      <c r="J13" s="15"/>
      <c r="K13" s="15"/>
      <c r="L13" s="52"/>
      <c r="M13" s="15"/>
      <c r="N13" s="15"/>
      <c r="O13" s="15"/>
      <c r="P13" s="15"/>
      <c r="Q13" s="52"/>
      <c r="R13" s="15"/>
      <c r="S13" s="15"/>
      <c r="T13" s="15"/>
      <c r="U13" s="15"/>
      <c r="V13" s="52"/>
    </row>
    <row r="14" spans="1:22" s="16" customFormat="1" ht="10.9" customHeight="1" x14ac:dyDescent="0.2">
      <c r="A14" s="31" t="s">
        <v>13</v>
      </c>
      <c r="B14" s="52">
        <v>-62</v>
      </c>
      <c r="C14" s="15">
        <v>-17</v>
      </c>
      <c r="D14" s="15">
        <v>-7</v>
      </c>
      <c r="E14" s="15">
        <v>-27</v>
      </c>
      <c r="F14" s="15">
        <v>7</v>
      </c>
      <c r="G14" s="52">
        <f t="shared" si="1"/>
        <v>7</v>
      </c>
      <c r="H14" s="15">
        <v>-17</v>
      </c>
      <c r="I14" s="15">
        <v>113</v>
      </c>
      <c r="J14" s="15">
        <v>-64</v>
      </c>
      <c r="K14" s="15">
        <v>-27</v>
      </c>
      <c r="L14" s="52">
        <f t="shared" si="2"/>
        <v>-27</v>
      </c>
      <c r="M14" s="15">
        <v>-17</v>
      </c>
      <c r="N14" s="15">
        <v>-33</v>
      </c>
      <c r="O14" s="15">
        <v>-78</v>
      </c>
      <c r="P14" s="15">
        <v>-30</v>
      </c>
      <c r="Q14" s="52">
        <f t="shared" si="0"/>
        <v>-30</v>
      </c>
      <c r="R14" s="15">
        <v>-61</v>
      </c>
      <c r="S14" s="15">
        <v>-145</v>
      </c>
      <c r="T14" s="15">
        <v>-142</v>
      </c>
      <c r="U14" s="15"/>
      <c r="V14" s="52">
        <f t="shared" si="3"/>
        <v>-142</v>
      </c>
    </row>
    <row r="15" spans="1:22" s="16" customFormat="1" ht="10.9" customHeight="1" x14ac:dyDescent="0.2">
      <c r="A15" s="31" t="s">
        <v>119</v>
      </c>
      <c r="B15" s="52">
        <v>-172</v>
      </c>
      <c r="C15" s="15">
        <v>-72</v>
      </c>
      <c r="D15" s="15">
        <v>-95</v>
      </c>
      <c r="E15" s="15">
        <v>-109</v>
      </c>
      <c r="F15" s="15">
        <v>-44</v>
      </c>
      <c r="G15" s="52">
        <f>F15</f>
        <v>-44</v>
      </c>
      <c r="H15" s="15">
        <v>-6</v>
      </c>
      <c r="I15" s="15">
        <v>58</v>
      </c>
      <c r="J15" s="15">
        <v>64</v>
      </c>
      <c r="K15" s="15">
        <v>19</v>
      </c>
      <c r="L15" s="52">
        <f>K15</f>
        <v>19</v>
      </c>
      <c r="M15" s="15">
        <v>-10</v>
      </c>
      <c r="N15" s="15">
        <v>-8</v>
      </c>
      <c r="O15" s="15">
        <v>-40</v>
      </c>
      <c r="P15" s="15">
        <v>-73</v>
      </c>
      <c r="Q15" s="52">
        <f t="shared" si="0"/>
        <v>-73</v>
      </c>
      <c r="R15" s="15">
        <v>-66</v>
      </c>
      <c r="S15" s="15">
        <v>-127</v>
      </c>
      <c r="T15" s="15">
        <v>-129</v>
      </c>
      <c r="U15" s="15"/>
      <c r="V15" s="52">
        <f t="shared" si="3"/>
        <v>-129</v>
      </c>
    </row>
    <row r="16" spans="1:22" s="16" customFormat="1" ht="10.9" customHeight="1" x14ac:dyDescent="0.2">
      <c r="A16" s="31" t="s">
        <v>49</v>
      </c>
      <c r="B16" s="52">
        <v>-27</v>
      </c>
      <c r="C16" s="15">
        <v>-16</v>
      </c>
      <c r="D16" s="15">
        <v>-8</v>
      </c>
      <c r="E16" s="15">
        <v>-13</v>
      </c>
      <c r="F16" s="15">
        <v>-53</v>
      </c>
      <c r="G16" s="52">
        <f>F16</f>
        <v>-53</v>
      </c>
      <c r="H16" s="15">
        <v>10</v>
      </c>
      <c r="I16" s="15">
        <v>13</v>
      </c>
      <c r="J16" s="15">
        <v>15</v>
      </c>
      <c r="K16" s="15">
        <v>5</v>
      </c>
      <c r="L16" s="52">
        <f>K16</f>
        <v>5</v>
      </c>
      <c r="M16" s="16">
        <v>16</v>
      </c>
      <c r="N16" s="15">
        <v>-24</v>
      </c>
      <c r="O16" s="15">
        <v>-6</v>
      </c>
      <c r="P16" s="15">
        <v>27</v>
      </c>
      <c r="Q16" s="52">
        <f t="shared" si="0"/>
        <v>27</v>
      </c>
      <c r="R16" s="15">
        <v>-12</v>
      </c>
      <c r="S16" s="15">
        <v>-21</v>
      </c>
      <c r="T16" s="15">
        <v>-38</v>
      </c>
      <c r="U16" s="15"/>
      <c r="V16" s="52">
        <f t="shared" si="3"/>
        <v>-38</v>
      </c>
    </row>
    <row r="17" spans="1:22" s="16" customFormat="1" ht="10.9" customHeight="1" x14ac:dyDescent="0.2">
      <c r="A17" s="31" t="s">
        <v>8</v>
      </c>
      <c r="B17" s="52">
        <v>231</v>
      </c>
      <c r="C17" s="15">
        <v>70</v>
      </c>
      <c r="D17" s="15">
        <v>25</v>
      </c>
      <c r="E17" s="15">
        <v>-23</v>
      </c>
      <c r="F17" s="15">
        <v>-38</v>
      </c>
      <c r="G17" s="52">
        <f>F17</f>
        <v>-38</v>
      </c>
      <c r="H17" s="15">
        <v>-1</v>
      </c>
      <c r="I17" s="15">
        <v>-109</v>
      </c>
      <c r="J17" s="15">
        <v>-62</v>
      </c>
      <c r="K17" s="15">
        <v>-1</v>
      </c>
      <c r="L17" s="52">
        <f>K17</f>
        <v>-1</v>
      </c>
      <c r="M17" s="15">
        <v>-15</v>
      </c>
      <c r="N17" s="15">
        <v>-15</v>
      </c>
      <c r="O17" s="15">
        <v>-19</v>
      </c>
      <c r="P17" s="15">
        <v>-42</v>
      </c>
      <c r="Q17" s="52">
        <f t="shared" si="0"/>
        <v>-42</v>
      </c>
      <c r="R17" s="15">
        <v>17</v>
      </c>
      <c r="S17" s="15">
        <v>54</v>
      </c>
      <c r="T17" s="15">
        <v>5</v>
      </c>
      <c r="U17" s="15"/>
      <c r="V17" s="52">
        <f t="shared" si="3"/>
        <v>5</v>
      </c>
    </row>
    <row r="18" spans="1:22" s="16" customFormat="1" ht="10.9" customHeight="1" x14ac:dyDescent="0.2">
      <c r="A18" s="31" t="s">
        <v>50</v>
      </c>
      <c r="B18" s="52">
        <v>61</v>
      </c>
      <c r="C18" s="15">
        <v>-6</v>
      </c>
      <c r="D18" s="15">
        <f>-3-14</f>
        <v>-17</v>
      </c>
      <c r="E18" s="15">
        <f>6-12</f>
        <v>-6</v>
      </c>
      <c r="F18" s="15">
        <f>28-6</f>
        <v>22</v>
      </c>
      <c r="G18" s="52">
        <f t="shared" ref="G18:G20" si="4">F18</f>
        <v>22</v>
      </c>
      <c r="H18" s="15">
        <v>-80</v>
      </c>
      <c r="I18" s="15">
        <v>8</v>
      </c>
      <c r="J18" s="15">
        <v>48</v>
      </c>
      <c r="K18" s="15">
        <v>26</v>
      </c>
      <c r="L18" s="52">
        <f t="shared" ref="L18:L20" si="5">K18</f>
        <v>26</v>
      </c>
      <c r="M18" s="15">
        <f>-66+6</f>
        <v>-60</v>
      </c>
      <c r="N18" s="15">
        <f>-10+9</f>
        <v>-1</v>
      </c>
      <c r="O18" s="15">
        <v>40</v>
      </c>
      <c r="P18" s="15">
        <v>29</v>
      </c>
      <c r="Q18" s="52">
        <f t="shared" si="0"/>
        <v>29</v>
      </c>
      <c r="R18" s="15">
        <v>-66</v>
      </c>
      <c r="S18" s="15">
        <v>-47</v>
      </c>
      <c r="T18" s="15">
        <v>-25</v>
      </c>
      <c r="U18" s="15"/>
      <c r="V18" s="52">
        <f t="shared" si="3"/>
        <v>-25</v>
      </c>
    </row>
    <row r="19" spans="1:22" s="16" customFormat="1" ht="10.9" customHeight="1" x14ac:dyDescent="0.2">
      <c r="A19" s="31" t="s">
        <v>51</v>
      </c>
      <c r="B19" s="52">
        <v>24</v>
      </c>
      <c r="C19" s="15">
        <v>-49</v>
      </c>
      <c r="D19" s="15">
        <v>-48</v>
      </c>
      <c r="E19" s="15">
        <v>-49</v>
      </c>
      <c r="F19" s="15">
        <v>-35</v>
      </c>
      <c r="G19" s="52">
        <f t="shared" si="4"/>
        <v>-35</v>
      </c>
      <c r="H19" s="15">
        <v>-2</v>
      </c>
      <c r="I19" s="15">
        <v>-9</v>
      </c>
      <c r="J19" s="15">
        <v>-8</v>
      </c>
      <c r="K19" s="15">
        <v>-4</v>
      </c>
      <c r="L19" s="52">
        <f t="shared" si="5"/>
        <v>-4</v>
      </c>
      <c r="M19" s="15">
        <v>-7</v>
      </c>
      <c r="N19" s="15">
        <v>-6</v>
      </c>
      <c r="O19" s="15">
        <v>-3</v>
      </c>
      <c r="P19" s="15">
        <v>-5</v>
      </c>
      <c r="Q19" s="52">
        <f t="shared" si="0"/>
        <v>-5</v>
      </c>
      <c r="R19" s="15">
        <v>7</v>
      </c>
      <c r="S19" s="15">
        <v>16</v>
      </c>
      <c r="T19" s="15">
        <v>-10</v>
      </c>
      <c r="U19" s="15"/>
      <c r="V19" s="52">
        <f t="shared" si="3"/>
        <v>-10</v>
      </c>
    </row>
    <row r="20" spans="1:22" s="16" customFormat="1" ht="10.9" customHeight="1" x14ac:dyDescent="0.2">
      <c r="A20" s="31" t="s">
        <v>120</v>
      </c>
      <c r="B20" s="52">
        <v>217</v>
      </c>
      <c r="C20" s="15">
        <v>6</v>
      </c>
      <c r="D20" s="15">
        <v>6</v>
      </c>
      <c r="E20" s="15">
        <v>13</v>
      </c>
      <c r="F20" s="15">
        <v>24</v>
      </c>
      <c r="G20" s="52">
        <f t="shared" si="4"/>
        <v>24</v>
      </c>
      <c r="H20" s="15">
        <v>-2</v>
      </c>
      <c r="I20" s="15">
        <v>11</v>
      </c>
      <c r="J20" s="15">
        <v>12</v>
      </c>
      <c r="K20" s="15">
        <v>26</v>
      </c>
      <c r="L20" s="52">
        <f t="shared" si="5"/>
        <v>26</v>
      </c>
      <c r="M20" s="15">
        <v>-2</v>
      </c>
      <c r="N20" s="15">
        <v>6</v>
      </c>
      <c r="O20" s="15">
        <v>7</v>
      </c>
      <c r="P20" s="15">
        <f>2+3</f>
        <v>5</v>
      </c>
      <c r="Q20" s="52">
        <f t="shared" si="0"/>
        <v>5</v>
      </c>
      <c r="R20" s="15">
        <v>2</v>
      </c>
      <c r="S20" s="15">
        <v>3</v>
      </c>
      <c r="T20" s="15">
        <f>-15+10</f>
        <v>-5</v>
      </c>
      <c r="U20" s="15"/>
      <c r="V20" s="52">
        <f t="shared" si="3"/>
        <v>-5</v>
      </c>
    </row>
    <row r="21" spans="1:22" s="6" customFormat="1" ht="10.9" customHeight="1" x14ac:dyDescent="0.25">
      <c r="A21" s="9" t="s">
        <v>135</v>
      </c>
      <c r="B21" s="51">
        <f>SUM(B6:B20)</f>
        <v>462</v>
      </c>
      <c r="C21" s="18">
        <f>SUM(C6:C20)</f>
        <v>-10</v>
      </c>
      <c r="D21" s="18">
        <f>SUM(D6:D20)</f>
        <v>-37</v>
      </c>
      <c r="E21" s="18">
        <f>SUM(E6:E20)</f>
        <v>-70</v>
      </c>
      <c r="F21" s="18">
        <f>SUM(F6:F20)</f>
        <v>23</v>
      </c>
      <c r="G21" s="51">
        <f>F21</f>
        <v>23</v>
      </c>
      <c r="H21" s="18">
        <f>SUM(H6:H20)</f>
        <v>-74</v>
      </c>
      <c r="I21" s="18">
        <f>SUM(I6:I20)</f>
        <v>71</v>
      </c>
      <c r="J21" s="18">
        <f>SUM(J6:J20)</f>
        <v>92</v>
      </c>
      <c r="K21" s="18">
        <f>SUM(K6:K20)</f>
        <v>244</v>
      </c>
      <c r="L21" s="51">
        <f>K21</f>
        <v>244</v>
      </c>
      <c r="M21" s="18">
        <f>SUM(M6:M20)</f>
        <v>5</v>
      </c>
      <c r="N21" s="18">
        <f>SUM(N6:N20)</f>
        <v>99</v>
      </c>
      <c r="O21" s="18">
        <f>SUM(O6:O20)</f>
        <v>203</v>
      </c>
      <c r="P21" s="18">
        <f>SUM(P6:P20)</f>
        <v>315</v>
      </c>
      <c r="Q21" s="51">
        <f t="shared" si="0"/>
        <v>315</v>
      </c>
      <c r="R21" s="18">
        <f>SUM(R6:R20)</f>
        <v>-59</v>
      </c>
      <c r="S21" s="18">
        <f>SUM(S6:S20)</f>
        <v>-24</v>
      </c>
      <c r="T21" s="18">
        <f>SUM(T6:T20)</f>
        <v>13</v>
      </c>
      <c r="U21" s="18">
        <f>SUM(U6:U20)</f>
        <v>0</v>
      </c>
      <c r="V21" s="51">
        <f>SUM(V6:V20)</f>
        <v>13</v>
      </c>
    </row>
    <row r="22" spans="1:22" s="6" customFormat="1" ht="10.9" customHeight="1" x14ac:dyDescent="0.25">
      <c r="A22" s="26"/>
      <c r="B22" s="52"/>
      <c r="C22" s="15"/>
      <c r="D22" s="15"/>
      <c r="E22" s="15"/>
      <c r="F22" s="15"/>
      <c r="G22" s="52"/>
      <c r="H22" s="15"/>
      <c r="I22" s="15"/>
      <c r="J22" s="15"/>
      <c r="K22" s="15"/>
      <c r="L22" s="52"/>
      <c r="M22" s="15"/>
      <c r="N22" s="15"/>
      <c r="O22" s="15"/>
      <c r="P22" s="15"/>
      <c r="Q22" s="52"/>
      <c r="R22" s="15"/>
      <c r="S22" s="15"/>
      <c r="T22" s="15"/>
      <c r="U22" s="15"/>
      <c r="V22" s="52"/>
    </row>
    <row r="23" spans="1:22" s="6" customFormat="1" ht="10.9" customHeight="1" x14ac:dyDescent="0.25">
      <c r="A23" s="38" t="s">
        <v>38</v>
      </c>
      <c r="B23" s="57"/>
      <c r="C23" s="7"/>
      <c r="D23" s="8"/>
      <c r="E23" s="8"/>
      <c r="F23" s="8"/>
      <c r="G23" s="57"/>
      <c r="H23" s="7"/>
      <c r="I23" s="8"/>
      <c r="J23" s="8"/>
      <c r="K23" s="8"/>
      <c r="L23" s="57"/>
      <c r="M23" s="7"/>
      <c r="N23" s="8"/>
      <c r="O23" s="8"/>
      <c r="P23" s="8"/>
      <c r="Q23" s="57"/>
      <c r="R23" s="7"/>
      <c r="S23" s="8"/>
      <c r="T23" s="8"/>
      <c r="U23" s="8"/>
      <c r="V23" s="57"/>
    </row>
    <row r="24" spans="1:22" s="16" customFormat="1" ht="10.9" customHeight="1" x14ac:dyDescent="0.2">
      <c r="A24" s="29" t="s">
        <v>129</v>
      </c>
      <c r="B24" s="52">
        <v>-81</v>
      </c>
      <c r="C24" s="15">
        <v>-15</v>
      </c>
      <c r="D24" s="15">
        <v>-38</v>
      </c>
      <c r="E24" s="15">
        <v>-66</v>
      </c>
      <c r="F24" s="15">
        <v>-95</v>
      </c>
      <c r="G24" s="52">
        <f t="shared" ref="G24:G27" si="6">F24</f>
        <v>-95</v>
      </c>
      <c r="H24" s="15">
        <v>-16</v>
      </c>
      <c r="I24" s="15">
        <v>-31</v>
      </c>
      <c r="J24" s="15">
        <v>-50</v>
      </c>
      <c r="K24" s="15">
        <v>-70</v>
      </c>
      <c r="L24" s="52">
        <f t="shared" ref="L24:L27" si="7">K24</f>
        <v>-70</v>
      </c>
      <c r="M24" s="15">
        <v>-19</v>
      </c>
      <c r="N24" s="15">
        <v>-35</v>
      </c>
      <c r="O24" s="15">
        <v>-48</v>
      </c>
      <c r="P24" s="15">
        <v>-63</v>
      </c>
      <c r="Q24" s="52">
        <f>P24</f>
        <v>-63</v>
      </c>
      <c r="R24" s="15">
        <v>-19</v>
      </c>
      <c r="S24" s="15">
        <v>-24</v>
      </c>
      <c r="T24" s="15">
        <v>-34</v>
      </c>
      <c r="U24" s="15"/>
      <c r="V24" s="52">
        <f>T24</f>
        <v>-34</v>
      </c>
    </row>
    <row r="25" spans="1:22" s="16" customFormat="1" ht="10.9" customHeight="1" x14ac:dyDescent="0.2">
      <c r="A25" s="29" t="s">
        <v>130</v>
      </c>
      <c r="B25" s="52">
        <v>0</v>
      </c>
      <c r="C25" s="15">
        <v>-6</v>
      </c>
      <c r="D25" s="15">
        <v>-17</v>
      </c>
      <c r="E25" s="15">
        <v>-17</v>
      </c>
      <c r="F25" s="15">
        <v>-17</v>
      </c>
      <c r="G25" s="52">
        <f t="shared" si="6"/>
        <v>-17</v>
      </c>
      <c r="H25" s="15">
        <v>-35</v>
      </c>
      <c r="I25" s="15">
        <v>-35</v>
      </c>
      <c r="J25" s="15">
        <v>-35</v>
      </c>
      <c r="K25" s="15">
        <v>-35</v>
      </c>
      <c r="L25" s="52">
        <f t="shared" si="7"/>
        <v>-35</v>
      </c>
      <c r="M25" s="15">
        <v>-5</v>
      </c>
      <c r="N25" s="15">
        <v>-10</v>
      </c>
      <c r="O25" s="15">
        <v>-11</v>
      </c>
      <c r="P25" s="15">
        <v>-11</v>
      </c>
      <c r="Q25" s="52">
        <f>P25</f>
        <v>-11</v>
      </c>
      <c r="R25" s="15">
        <v>-633</v>
      </c>
      <c r="S25" s="15">
        <v>-633</v>
      </c>
      <c r="T25" s="15">
        <v>-660</v>
      </c>
      <c r="U25" s="15"/>
      <c r="V25" s="52">
        <f>T25</f>
        <v>-660</v>
      </c>
    </row>
    <row r="26" spans="1:22" s="16" customFormat="1" ht="10.9" customHeight="1" x14ac:dyDescent="0.2">
      <c r="A26" s="29" t="s">
        <v>120</v>
      </c>
      <c r="B26" s="52">
        <v>7</v>
      </c>
      <c r="C26" s="15">
        <v>0</v>
      </c>
      <c r="D26" s="15">
        <v>0</v>
      </c>
      <c r="E26" s="15">
        <v>0</v>
      </c>
      <c r="F26" s="15">
        <v>0</v>
      </c>
      <c r="G26" s="52">
        <f t="shared" si="6"/>
        <v>0</v>
      </c>
      <c r="H26" s="15">
        <v>0</v>
      </c>
      <c r="I26" s="15">
        <v>0</v>
      </c>
      <c r="J26" s="15">
        <v>0</v>
      </c>
      <c r="K26" s="15">
        <v>2</v>
      </c>
      <c r="L26" s="52">
        <f t="shared" si="7"/>
        <v>2</v>
      </c>
      <c r="M26" s="15">
        <v>0</v>
      </c>
      <c r="N26" s="15">
        <v>3</v>
      </c>
      <c r="O26" s="15">
        <v>3</v>
      </c>
      <c r="P26" s="15">
        <v>9</v>
      </c>
      <c r="Q26" s="52">
        <f>P26</f>
        <v>9</v>
      </c>
      <c r="R26" s="15">
        <v>-13</v>
      </c>
      <c r="S26" s="15">
        <v>-13</v>
      </c>
      <c r="T26" s="15">
        <v>-13</v>
      </c>
      <c r="U26" s="15"/>
      <c r="V26" s="52">
        <f>T26</f>
        <v>-13</v>
      </c>
    </row>
    <row r="27" spans="1:22" s="6" customFormat="1" ht="10.9" customHeight="1" x14ac:dyDescent="0.25">
      <c r="A27" s="9" t="s">
        <v>136</v>
      </c>
      <c r="B27" s="51">
        <f>SUM(B24:B26)</f>
        <v>-74</v>
      </c>
      <c r="C27" s="18">
        <f>SUM(C24:C26)</f>
        <v>-21</v>
      </c>
      <c r="D27" s="18">
        <f>SUM(D24:D26)</f>
        <v>-55</v>
      </c>
      <c r="E27" s="18">
        <f>SUM(E24:E26)</f>
        <v>-83</v>
      </c>
      <c r="F27" s="18">
        <f>SUM(F24:F26)</f>
        <v>-112</v>
      </c>
      <c r="G27" s="51">
        <f t="shared" si="6"/>
        <v>-112</v>
      </c>
      <c r="H27" s="18">
        <f>SUM(H24:H26)</f>
        <v>-51</v>
      </c>
      <c r="I27" s="18">
        <f>SUM(I24:I26)</f>
        <v>-66</v>
      </c>
      <c r="J27" s="18">
        <f>SUM(J24:J26)</f>
        <v>-85</v>
      </c>
      <c r="K27" s="18">
        <f>SUM(K24:K26)</f>
        <v>-103</v>
      </c>
      <c r="L27" s="51">
        <f t="shared" si="7"/>
        <v>-103</v>
      </c>
      <c r="M27" s="18">
        <f>SUM(M24:M26)</f>
        <v>-24</v>
      </c>
      <c r="N27" s="18">
        <f>SUM(N24:N26)</f>
        <v>-42</v>
      </c>
      <c r="O27" s="18">
        <f>SUM(O24:O26)</f>
        <v>-56</v>
      </c>
      <c r="P27" s="18">
        <f>SUM(P24:P26)</f>
        <v>-65</v>
      </c>
      <c r="Q27" s="51">
        <f>P27</f>
        <v>-65</v>
      </c>
      <c r="R27" s="18">
        <f>SUM(R24:R26)</f>
        <v>-665</v>
      </c>
      <c r="S27" s="18">
        <f>SUM(S24:S26)</f>
        <v>-670</v>
      </c>
      <c r="T27" s="18">
        <f>SUM(T24:T26)</f>
        <v>-707</v>
      </c>
      <c r="U27" s="18">
        <f>SUM(U24:U26)</f>
        <v>0</v>
      </c>
      <c r="V27" s="51">
        <f>SUM(V24:V26)</f>
        <v>-707</v>
      </c>
    </row>
    <row r="28" spans="1:22" s="6" customFormat="1" ht="10.9" customHeight="1" x14ac:dyDescent="0.25">
      <c r="A28" s="26"/>
      <c r="B28" s="52"/>
      <c r="C28" s="15"/>
      <c r="D28" s="15"/>
      <c r="E28" s="15"/>
      <c r="F28" s="15"/>
      <c r="G28" s="52"/>
      <c r="H28" s="15"/>
      <c r="I28" s="15"/>
      <c r="J28" s="15"/>
      <c r="K28" s="15"/>
      <c r="L28" s="52"/>
      <c r="M28" s="15"/>
      <c r="N28" s="15"/>
      <c r="O28" s="15"/>
      <c r="P28" s="15"/>
      <c r="Q28" s="52"/>
      <c r="R28" s="15"/>
      <c r="S28" s="15"/>
      <c r="T28" s="15"/>
      <c r="U28" s="15"/>
      <c r="V28" s="52"/>
    </row>
    <row r="29" spans="1:22" s="6" customFormat="1" ht="10.9" customHeight="1" x14ac:dyDescent="0.25">
      <c r="A29" s="38" t="s">
        <v>39</v>
      </c>
      <c r="B29" s="57"/>
      <c r="C29" s="7"/>
      <c r="D29" s="8"/>
      <c r="E29" s="8"/>
      <c r="F29" s="8"/>
      <c r="G29" s="57"/>
      <c r="H29" s="7"/>
      <c r="I29" s="8"/>
      <c r="J29" s="8"/>
      <c r="K29" s="8"/>
      <c r="L29" s="57"/>
      <c r="M29" s="7"/>
      <c r="N29" s="8"/>
      <c r="O29" s="8"/>
      <c r="P29" s="8"/>
      <c r="Q29" s="57"/>
      <c r="R29" s="7"/>
      <c r="S29" s="8"/>
      <c r="T29" s="8"/>
      <c r="U29" s="8"/>
      <c r="V29" s="57"/>
    </row>
    <row r="30" spans="1:22" s="16" customFormat="1" ht="10.9" customHeight="1" x14ac:dyDescent="0.2">
      <c r="A30" s="29" t="s">
        <v>56</v>
      </c>
      <c r="B30" s="52">
        <v>0</v>
      </c>
      <c r="C30" s="15">
        <v>0</v>
      </c>
      <c r="D30" s="15">
        <v>0</v>
      </c>
      <c r="E30" s="15">
        <v>0</v>
      </c>
      <c r="F30" s="15">
        <v>0</v>
      </c>
      <c r="G30" s="52">
        <f t="shared" ref="G30" si="8">F30</f>
        <v>0</v>
      </c>
      <c r="H30" s="15">
        <v>0</v>
      </c>
      <c r="I30" s="15">
        <v>0</v>
      </c>
      <c r="J30" s="15">
        <v>0</v>
      </c>
      <c r="K30" s="15">
        <v>279</v>
      </c>
      <c r="L30" s="52">
        <f t="shared" ref="L30" si="9">K30</f>
        <v>279</v>
      </c>
      <c r="M30" s="15">
        <v>0</v>
      </c>
      <c r="N30" s="15">
        <v>0</v>
      </c>
      <c r="O30" s="15">
        <v>0</v>
      </c>
      <c r="P30" s="15">
        <v>0</v>
      </c>
      <c r="Q30" s="52">
        <f t="shared" ref="Q30:Q38" si="10">P30</f>
        <v>0</v>
      </c>
      <c r="R30" s="15">
        <v>0</v>
      </c>
      <c r="S30" s="15">
        <v>0</v>
      </c>
      <c r="T30" s="15">
        <v>0</v>
      </c>
      <c r="U30" s="15"/>
      <c r="V30" s="52">
        <f>T30</f>
        <v>0</v>
      </c>
    </row>
    <row r="31" spans="1:22" s="16" customFormat="1" ht="10.9" customHeight="1" x14ac:dyDescent="0.2">
      <c r="A31" s="29" t="s">
        <v>52</v>
      </c>
      <c r="B31" s="52">
        <v>1225</v>
      </c>
      <c r="C31" s="15">
        <v>0</v>
      </c>
      <c r="D31" s="15">
        <v>0</v>
      </c>
      <c r="E31" s="15">
        <v>0</v>
      </c>
      <c r="F31" s="15">
        <v>0</v>
      </c>
      <c r="G31" s="52">
        <v>0</v>
      </c>
      <c r="H31" s="15">
        <v>0</v>
      </c>
      <c r="I31" s="15">
        <v>0</v>
      </c>
      <c r="J31" s="15">
        <v>0</v>
      </c>
      <c r="K31" s="15">
        <v>0</v>
      </c>
      <c r="L31" s="52">
        <v>0</v>
      </c>
      <c r="M31" s="15">
        <v>950</v>
      </c>
      <c r="N31" s="15">
        <v>950</v>
      </c>
      <c r="O31" s="15">
        <v>1250</v>
      </c>
      <c r="P31" s="15">
        <v>1250</v>
      </c>
      <c r="Q31" s="52">
        <f t="shared" si="10"/>
        <v>1250</v>
      </c>
      <c r="R31" s="15">
        <v>200</v>
      </c>
      <c r="S31" s="15">
        <v>200</v>
      </c>
      <c r="T31" s="15">
        <v>200</v>
      </c>
      <c r="U31" s="15"/>
      <c r="V31" s="52">
        <f t="shared" ref="V31:V37" si="11">T31</f>
        <v>200</v>
      </c>
    </row>
    <row r="32" spans="1:22" s="16" customFormat="1" ht="10.9" customHeight="1" x14ac:dyDescent="0.2">
      <c r="A32" s="29" t="s">
        <v>55</v>
      </c>
      <c r="B32" s="52">
        <v>0</v>
      </c>
      <c r="C32" s="15">
        <v>0</v>
      </c>
      <c r="D32" s="15">
        <v>0</v>
      </c>
      <c r="E32" s="15">
        <v>60</v>
      </c>
      <c r="F32" s="15">
        <v>0</v>
      </c>
      <c r="G32" s="52">
        <f>F32</f>
        <v>0</v>
      </c>
      <c r="H32" s="15">
        <v>350</v>
      </c>
      <c r="I32" s="15">
        <v>250</v>
      </c>
      <c r="J32" s="15">
        <v>150</v>
      </c>
      <c r="K32" s="15">
        <v>0</v>
      </c>
      <c r="L32" s="52">
        <f>K32</f>
        <v>0</v>
      </c>
      <c r="M32" s="15">
        <v>0</v>
      </c>
      <c r="N32" s="15">
        <v>0</v>
      </c>
      <c r="O32" s="15">
        <v>0</v>
      </c>
      <c r="P32" s="15">
        <v>0</v>
      </c>
      <c r="Q32" s="52">
        <f t="shared" si="10"/>
        <v>0</v>
      </c>
      <c r="R32" s="15">
        <v>0</v>
      </c>
      <c r="S32" s="15">
        <v>0</v>
      </c>
      <c r="T32" s="15">
        <v>0</v>
      </c>
      <c r="U32" s="15"/>
      <c r="V32" s="52">
        <f t="shared" si="11"/>
        <v>0</v>
      </c>
    </row>
    <row r="33" spans="1:22" s="16" customFormat="1" ht="10.9" customHeight="1" x14ac:dyDescent="0.2">
      <c r="A33" s="29" t="s">
        <v>53</v>
      </c>
      <c r="B33" s="52">
        <v>-29</v>
      </c>
      <c r="C33" s="15">
        <v>0</v>
      </c>
      <c r="D33" s="15">
        <v>0</v>
      </c>
      <c r="E33" s="15">
        <v>0</v>
      </c>
      <c r="F33" s="15">
        <v>-4</v>
      </c>
      <c r="G33" s="52">
        <f>F33</f>
        <v>-4</v>
      </c>
      <c r="H33" s="15">
        <v>0</v>
      </c>
      <c r="I33" s="15">
        <v>0</v>
      </c>
      <c r="J33" s="15">
        <v>0</v>
      </c>
      <c r="K33" s="15">
        <v>0</v>
      </c>
      <c r="L33" s="52">
        <f>K33</f>
        <v>0</v>
      </c>
      <c r="M33" s="15">
        <v>-21</v>
      </c>
      <c r="N33" s="15">
        <v>-21</v>
      </c>
      <c r="O33" s="15">
        <v>-39</v>
      </c>
      <c r="P33" s="15">
        <v>-39</v>
      </c>
      <c r="Q33" s="52">
        <f t="shared" si="10"/>
        <v>-39</v>
      </c>
      <c r="R33" s="15">
        <v>-4</v>
      </c>
      <c r="S33" s="15">
        <v>-4</v>
      </c>
      <c r="T33" s="15">
        <v>-4</v>
      </c>
      <c r="U33" s="15"/>
      <c r="V33" s="52">
        <f t="shared" si="11"/>
        <v>-4</v>
      </c>
    </row>
    <row r="34" spans="1:22" s="16" customFormat="1" ht="10.9" customHeight="1" x14ac:dyDescent="0.2">
      <c r="A34" s="29" t="s">
        <v>131</v>
      </c>
      <c r="B34" s="52">
        <v>0</v>
      </c>
      <c r="C34" s="15">
        <v>-6</v>
      </c>
      <c r="D34" s="15">
        <v>-11</v>
      </c>
      <c r="E34" s="15">
        <v>-11</v>
      </c>
      <c r="F34" s="15">
        <v>-22</v>
      </c>
      <c r="G34" s="52">
        <f>F34</f>
        <v>-22</v>
      </c>
      <c r="H34" s="15">
        <v>0</v>
      </c>
      <c r="I34" s="15">
        <v>-6</v>
      </c>
      <c r="J34" s="15">
        <v>-11</v>
      </c>
      <c r="K34" s="15">
        <v>-22</v>
      </c>
      <c r="L34" s="52">
        <f>K34</f>
        <v>-22</v>
      </c>
      <c r="M34" s="15">
        <v>-921</v>
      </c>
      <c r="N34" s="15">
        <v>-923</v>
      </c>
      <c r="O34" s="15">
        <v>-1185</v>
      </c>
      <c r="P34" s="15">
        <v>-1188</v>
      </c>
      <c r="Q34" s="52">
        <f t="shared" si="10"/>
        <v>-1188</v>
      </c>
      <c r="R34" s="15">
        <v>-3</v>
      </c>
      <c r="S34" s="15">
        <v>-6</v>
      </c>
      <c r="T34" s="15">
        <v>-9</v>
      </c>
      <c r="U34" s="15"/>
      <c r="V34" s="52">
        <f t="shared" si="11"/>
        <v>-9</v>
      </c>
    </row>
    <row r="35" spans="1:22" s="16" customFormat="1" ht="10.9" customHeight="1" x14ac:dyDescent="0.2">
      <c r="A35" s="29" t="s">
        <v>54</v>
      </c>
      <c r="B35" s="52">
        <v>-1415</v>
      </c>
      <c r="C35" s="15">
        <v>0</v>
      </c>
      <c r="D35" s="15">
        <v>0</v>
      </c>
      <c r="E35" s="15">
        <v>0</v>
      </c>
      <c r="F35" s="15">
        <v>0</v>
      </c>
      <c r="G35" s="52">
        <f t="shared" ref="G35:G36" si="12">F35</f>
        <v>0</v>
      </c>
      <c r="H35" s="15">
        <v>0</v>
      </c>
      <c r="I35" s="15">
        <v>0</v>
      </c>
      <c r="J35" s="15">
        <v>0</v>
      </c>
      <c r="K35" s="15">
        <v>0</v>
      </c>
      <c r="L35" s="52">
        <f t="shared" ref="L35:L36" si="13">K35</f>
        <v>0</v>
      </c>
      <c r="M35" s="15">
        <v>0</v>
      </c>
      <c r="N35" s="15">
        <v>0</v>
      </c>
      <c r="O35" s="15">
        <v>0</v>
      </c>
      <c r="P35" s="15">
        <v>0</v>
      </c>
      <c r="Q35" s="52">
        <f t="shared" si="10"/>
        <v>0</v>
      </c>
      <c r="R35" s="15">
        <v>0</v>
      </c>
      <c r="S35" s="15">
        <v>0</v>
      </c>
      <c r="T35" s="15">
        <v>0</v>
      </c>
      <c r="U35" s="15"/>
      <c r="V35" s="52">
        <f t="shared" si="11"/>
        <v>0</v>
      </c>
    </row>
    <row r="36" spans="1:22" s="16" customFormat="1" ht="10.9" customHeight="1" x14ac:dyDescent="0.2">
      <c r="A36" s="29" t="s">
        <v>57</v>
      </c>
      <c r="B36" s="52">
        <v>26</v>
      </c>
      <c r="C36" s="15">
        <v>-15</v>
      </c>
      <c r="D36" s="15">
        <v>-18</v>
      </c>
      <c r="E36" s="15">
        <v>-24</v>
      </c>
      <c r="F36" s="15">
        <v>-24</v>
      </c>
      <c r="G36" s="52">
        <f t="shared" si="12"/>
        <v>-24</v>
      </c>
      <c r="H36" s="15">
        <v>0</v>
      </c>
      <c r="I36" s="15">
        <v>0</v>
      </c>
      <c r="J36" s="15">
        <v>-2</v>
      </c>
      <c r="K36" s="15">
        <v>-2</v>
      </c>
      <c r="L36" s="52">
        <f t="shared" si="13"/>
        <v>-2</v>
      </c>
      <c r="M36" s="15">
        <v>0</v>
      </c>
      <c r="N36" s="15">
        <v>0</v>
      </c>
      <c r="O36" s="15">
        <v>0</v>
      </c>
      <c r="P36" s="15">
        <v>0</v>
      </c>
      <c r="Q36" s="52">
        <f t="shared" si="10"/>
        <v>0</v>
      </c>
      <c r="R36" s="15">
        <v>0</v>
      </c>
      <c r="S36" s="15">
        <v>0</v>
      </c>
      <c r="T36" s="15">
        <v>0</v>
      </c>
      <c r="U36" s="15"/>
      <c r="V36" s="52">
        <f t="shared" si="11"/>
        <v>0</v>
      </c>
    </row>
    <row r="37" spans="1:22" s="16" customFormat="1" ht="10.9" customHeight="1" x14ac:dyDescent="0.2">
      <c r="A37" s="29" t="s">
        <v>120</v>
      </c>
      <c r="B37" s="52">
        <f>-13+39</f>
        <v>26</v>
      </c>
      <c r="C37" s="15">
        <v>-2</v>
      </c>
      <c r="D37" s="15">
        <v>-2</v>
      </c>
      <c r="E37" s="15">
        <v>-3</v>
      </c>
      <c r="F37" s="15">
        <v>-3</v>
      </c>
      <c r="G37" s="52">
        <f t="shared" ref="G37:G38" si="14">F37</f>
        <v>-3</v>
      </c>
      <c r="H37" s="15">
        <v>-1</v>
      </c>
      <c r="I37" s="15">
        <v>-3</v>
      </c>
      <c r="J37" s="15">
        <v>-2</v>
      </c>
      <c r="K37" s="15">
        <v>-2</v>
      </c>
      <c r="L37" s="52">
        <f t="shared" ref="L37:L38" si="15">K37</f>
        <v>-2</v>
      </c>
      <c r="M37" s="15">
        <v>5</v>
      </c>
      <c r="N37" s="15">
        <v>1</v>
      </c>
      <c r="O37" s="15">
        <v>2</v>
      </c>
      <c r="P37" s="15">
        <v>-3</v>
      </c>
      <c r="Q37" s="52">
        <f t="shared" si="10"/>
        <v>-3</v>
      </c>
      <c r="R37" s="15">
        <v>-4</v>
      </c>
      <c r="S37" s="15">
        <v>-7</v>
      </c>
      <c r="T37" s="15">
        <v>-5</v>
      </c>
      <c r="U37" s="15"/>
      <c r="V37" s="52">
        <f t="shared" si="11"/>
        <v>-5</v>
      </c>
    </row>
    <row r="38" spans="1:22" s="6" customFormat="1" ht="10.9" customHeight="1" x14ac:dyDescent="0.25">
      <c r="A38" s="9" t="s">
        <v>137</v>
      </c>
      <c r="B38" s="51">
        <f>SUM(B30:B37)</f>
        <v>-167</v>
      </c>
      <c r="C38" s="18">
        <f>SUM(C30:C37)</f>
        <v>-23</v>
      </c>
      <c r="D38" s="18">
        <f>SUM(D30:D37)</f>
        <v>-31</v>
      </c>
      <c r="E38" s="18">
        <f>SUM(E30:E37)</f>
        <v>22</v>
      </c>
      <c r="F38" s="18">
        <f>SUM(F30:F37)</f>
        <v>-53</v>
      </c>
      <c r="G38" s="51">
        <f t="shared" si="14"/>
        <v>-53</v>
      </c>
      <c r="H38" s="18">
        <f>SUM(H30:H37)</f>
        <v>349</v>
      </c>
      <c r="I38" s="18">
        <f>SUM(I30:I37)</f>
        <v>241</v>
      </c>
      <c r="J38" s="18">
        <f>SUM(J30:J37)</f>
        <v>135</v>
      </c>
      <c r="K38" s="18">
        <f>SUM(K30:K37)</f>
        <v>253</v>
      </c>
      <c r="L38" s="51">
        <f t="shared" si="15"/>
        <v>253</v>
      </c>
      <c r="M38" s="18">
        <f>SUM(M30:M37)</f>
        <v>13</v>
      </c>
      <c r="N38" s="18">
        <f>SUM(N30:N37)</f>
        <v>7</v>
      </c>
      <c r="O38" s="18">
        <f>SUM(O30:O37)</f>
        <v>28</v>
      </c>
      <c r="P38" s="18">
        <f>SUM(P30:P37)</f>
        <v>20</v>
      </c>
      <c r="Q38" s="51">
        <f t="shared" si="10"/>
        <v>20</v>
      </c>
      <c r="R38" s="18">
        <f>SUM(R30:R37)</f>
        <v>189</v>
      </c>
      <c r="S38" s="18">
        <f>SUM(S30:S37)</f>
        <v>183</v>
      </c>
      <c r="T38" s="18">
        <f>SUM(T30:T37)</f>
        <v>182</v>
      </c>
      <c r="U38" s="18">
        <f>SUM(U30:U37)</f>
        <v>0</v>
      </c>
      <c r="V38" s="51">
        <f>SUM(V31:V37)</f>
        <v>182</v>
      </c>
    </row>
    <row r="39" spans="1:22" s="6" customFormat="1" ht="10.9" customHeight="1" x14ac:dyDescent="0.25">
      <c r="A39" s="26"/>
      <c r="B39" s="52"/>
      <c r="C39" s="15"/>
      <c r="D39" s="15"/>
      <c r="E39" s="15"/>
      <c r="F39" s="15"/>
      <c r="G39" s="52"/>
      <c r="H39" s="15"/>
      <c r="I39" s="15"/>
      <c r="J39" s="15"/>
      <c r="K39" s="15"/>
      <c r="L39" s="52"/>
      <c r="M39" s="15"/>
      <c r="N39" s="15"/>
      <c r="O39" s="15"/>
      <c r="P39" s="15"/>
      <c r="Q39" s="52"/>
      <c r="R39" s="15"/>
      <c r="S39" s="15"/>
      <c r="T39" s="15"/>
      <c r="U39" s="15"/>
      <c r="V39" s="52"/>
    </row>
    <row r="40" spans="1:22" s="6" customFormat="1" ht="10.9" customHeight="1" x14ac:dyDescent="0.25">
      <c r="A40" s="9" t="s">
        <v>132</v>
      </c>
      <c r="B40" s="50">
        <v>-12</v>
      </c>
      <c r="C40" s="13">
        <v>1</v>
      </c>
      <c r="D40" s="13">
        <v>0</v>
      </c>
      <c r="E40" s="13">
        <v>-2</v>
      </c>
      <c r="F40" s="13">
        <v>-1</v>
      </c>
      <c r="G40" s="50">
        <f>F40</f>
        <v>-1</v>
      </c>
      <c r="H40" s="13">
        <v>-8</v>
      </c>
      <c r="I40" s="13">
        <v>-6</v>
      </c>
      <c r="J40" s="13">
        <v>-4</v>
      </c>
      <c r="K40" s="13">
        <v>1</v>
      </c>
      <c r="L40" s="50">
        <f>K40</f>
        <v>1</v>
      </c>
      <c r="M40" s="13">
        <v>-3</v>
      </c>
      <c r="N40" s="13">
        <v>-2</v>
      </c>
      <c r="O40" s="13">
        <v>-6</v>
      </c>
      <c r="P40" s="13">
        <v>-8</v>
      </c>
      <c r="Q40" s="50">
        <f>P40</f>
        <v>-8</v>
      </c>
      <c r="R40" s="13">
        <v>0</v>
      </c>
      <c r="S40" s="13">
        <v>-13</v>
      </c>
      <c r="T40" s="13">
        <v>-12</v>
      </c>
      <c r="U40" s="13"/>
      <c r="V40" s="50">
        <f>T40</f>
        <v>-12</v>
      </c>
    </row>
    <row r="41" spans="1:22" s="6" customFormat="1" ht="10.9" customHeight="1" x14ac:dyDescent="0.25">
      <c r="A41" s="26"/>
      <c r="B41" s="52"/>
      <c r="C41" s="15"/>
      <c r="D41" s="15"/>
      <c r="E41" s="15"/>
      <c r="F41" s="15"/>
      <c r="G41" s="52">
        <f>F41</f>
        <v>0</v>
      </c>
      <c r="H41" s="15"/>
      <c r="I41" s="15"/>
      <c r="J41" s="15"/>
      <c r="K41" s="15"/>
      <c r="L41" s="52"/>
      <c r="M41" s="15"/>
      <c r="N41" s="15"/>
      <c r="O41" s="15"/>
      <c r="P41" s="15"/>
      <c r="Q41" s="52"/>
      <c r="R41" s="15"/>
      <c r="S41" s="15"/>
      <c r="T41" s="15"/>
      <c r="U41" s="15"/>
      <c r="V41" s="52"/>
    </row>
    <row r="42" spans="1:22" s="3" customFormat="1" ht="10.9" customHeight="1" x14ac:dyDescent="0.2">
      <c r="A42" s="19" t="s">
        <v>40</v>
      </c>
      <c r="B42" s="52">
        <f>B21+B27+B38+B40</f>
        <v>209</v>
      </c>
      <c r="C42" s="15">
        <f>C21+C27+C38+C40</f>
        <v>-53</v>
      </c>
      <c r="D42" s="15">
        <f>D21+D27+D38+D40</f>
        <v>-123</v>
      </c>
      <c r="E42" s="15">
        <f>E21+E27+E38+E40</f>
        <v>-133</v>
      </c>
      <c r="F42" s="15">
        <f>F21+F27+F38+F40</f>
        <v>-143</v>
      </c>
      <c r="G42" s="52">
        <f>F42</f>
        <v>-143</v>
      </c>
      <c r="H42" s="15">
        <f>H21+H27+H38+H40</f>
        <v>216</v>
      </c>
      <c r="I42" s="15">
        <f>I21+I27+I38+I40</f>
        <v>240</v>
      </c>
      <c r="J42" s="15">
        <f>J21+J27+J38+J40</f>
        <v>138</v>
      </c>
      <c r="K42" s="15">
        <f>K21+K27+K38+K40</f>
        <v>395</v>
      </c>
      <c r="L42" s="52">
        <f>K42</f>
        <v>395</v>
      </c>
      <c r="M42" s="15">
        <f>M21+M27+M38+M40</f>
        <v>-9</v>
      </c>
      <c r="N42" s="15">
        <f>N21+N27+N38+N40</f>
        <v>62</v>
      </c>
      <c r="O42" s="15">
        <f>O21+O27+O38+O40</f>
        <v>169</v>
      </c>
      <c r="P42" s="15">
        <f>P21+P27+P38+P40</f>
        <v>262</v>
      </c>
      <c r="Q42" s="52">
        <f>P42</f>
        <v>262</v>
      </c>
      <c r="R42" s="15">
        <f>R21+R27+R38+R40</f>
        <v>-535</v>
      </c>
      <c r="S42" s="15">
        <f>S21+S27+S38+S40</f>
        <v>-524</v>
      </c>
      <c r="T42" s="15">
        <f>T21+T27+T38+T40</f>
        <v>-524</v>
      </c>
      <c r="U42" s="15">
        <f>U21+U27+U38+U40</f>
        <v>0</v>
      </c>
      <c r="V42" s="52">
        <f>T42</f>
        <v>-524</v>
      </c>
    </row>
    <row r="43" spans="1:22" s="3" customFormat="1" ht="10.9" customHeight="1" x14ac:dyDescent="0.2">
      <c r="A43" s="19" t="s">
        <v>133</v>
      </c>
      <c r="B43" s="50">
        <v>56</v>
      </c>
      <c r="C43" s="13">
        <f>B44</f>
        <v>265</v>
      </c>
      <c r="D43" s="13">
        <f>B44</f>
        <v>265</v>
      </c>
      <c r="E43" s="13">
        <f>B44</f>
        <v>265</v>
      </c>
      <c r="F43" s="13">
        <f>B44</f>
        <v>265</v>
      </c>
      <c r="G43" s="50">
        <f>F43</f>
        <v>265</v>
      </c>
      <c r="H43" s="13">
        <f>G44</f>
        <v>122</v>
      </c>
      <c r="I43" s="13">
        <f>G44</f>
        <v>122</v>
      </c>
      <c r="J43" s="13">
        <f>G44</f>
        <v>122</v>
      </c>
      <c r="K43" s="13">
        <f>G44</f>
        <v>122</v>
      </c>
      <c r="L43" s="50">
        <f>K43</f>
        <v>122</v>
      </c>
      <c r="M43" s="13">
        <f>L44</f>
        <v>517</v>
      </c>
      <c r="N43" s="13">
        <f>L44</f>
        <v>517</v>
      </c>
      <c r="O43" s="13">
        <f>L44</f>
        <v>517</v>
      </c>
      <c r="P43" s="13">
        <f>L44</f>
        <v>517</v>
      </c>
      <c r="Q43" s="50">
        <f>P43</f>
        <v>517</v>
      </c>
      <c r="R43" s="13">
        <f>Q44</f>
        <v>779</v>
      </c>
      <c r="S43" s="13">
        <f>Q44</f>
        <v>779</v>
      </c>
      <c r="T43" s="13">
        <f>Q44</f>
        <v>779</v>
      </c>
      <c r="U43" s="13">
        <f>Q44</f>
        <v>779</v>
      </c>
      <c r="V43" s="50">
        <f>U43</f>
        <v>779</v>
      </c>
    </row>
    <row r="44" spans="1:22" s="6" customFormat="1" ht="10.9" customHeight="1" thickBot="1" x14ac:dyDescent="0.3">
      <c r="A44" s="9" t="s">
        <v>141</v>
      </c>
      <c r="B44" s="53">
        <f>SUM(B42:B43)</f>
        <v>265</v>
      </c>
      <c r="C44" s="20">
        <f>SUM(C42:C43)</f>
        <v>212</v>
      </c>
      <c r="D44" s="20">
        <f>SUM(D42:D43)</f>
        <v>142</v>
      </c>
      <c r="E44" s="20">
        <f>SUM(E42:E43)</f>
        <v>132</v>
      </c>
      <c r="F44" s="20">
        <f>SUM(F42:F43)</f>
        <v>122</v>
      </c>
      <c r="G44" s="53">
        <f t="shared" ref="G44:N44" si="16">SUM(G42:G43)</f>
        <v>122</v>
      </c>
      <c r="H44" s="20">
        <f t="shared" si="16"/>
        <v>338</v>
      </c>
      <c r="I44" s="20">
        <f t="shared" si="16"/>
        <v>362</v>
      </c>
      <c r="J44" s="20">
        <f t="shared" si="16"/>
        <v>260</v>
      </c>
      <c r="K44" s="20">
        <f t="shared" si="16"/>
        <v>517</v>
      </c>
      <c r="L44" s="53">
        <f t="shared" si="16"/>
        <v>517</v>
      </c>
      <c r="M44" s="20">
        <f t="shared" si="16"/>
        <v>508</v>
      </c>
      <c r="N44" s="20">
        <f t="shared" si="16"/>
        <v>579</v>
      </c>
      <c r="O44" s="20">
        <f t="shared" ref="O44:Q44" si="17">SUM(O42:O43)</f>
        <v>686</v>
      </c>
      <c r="P44" s="20">
        <f t="shared" si="17"/>
        <v>779</v>
      </c>
      <c r="Q44" s="53">
        <f t="shared" si="17"/>
        <v>779</v>
      </c>
      <c r="R44" s="20">
        <f>SUM(R42:R43)</f>
        <v>244</v>
      </c>
      <c r="S44" s="20">
        <f>SUM(S42:S43)</f>
        <v>255</v>
      </c>
      <c r="T44" s="20">
        <f t="shared" ref="T44:V44" si="18">SUM(T42:T43)</f>
        <v>255</v>
      </c>
      <c r="U44" s="20">
        <f t="shared" si="18"/>
        <v>779</v>
      </c>
      <c r="V44" s="53">
        <f t="shared" si="18"/>
        <v>255</v>
      </c>
    </row>
    <row r="45" spans="1:22" s="6" customFormat="1" ht="10.9" customHeight="1" thickTop="1" x14ac:dyDescent="0.25">
      <c r="A45" s="9"/>
      <c r="B45" s="49"/>
      <c r="C45" s="37"/>
      <c r="D45" s="37"/>
      <c r="E45" s="37"/>
      <c r="F45" s="37"/>
      <c r="G45" s="49"/>
      <c r="H45" s="37"/>
      <c r="I45" s="37"/>
      <c r="J45" s="37"/>
      <c r="K45" s="37"/>
      <c r="L45" s="49"/>
      <c r="M45" s="37"/>
      <c r="N45" s="37"/>
      <c r="O45" s="37"/>
      <c r="P45" s="37"/>
      <c r="Q45" s="49"/>
      <c r="R45" s="37"/>
      <c r="S45" s="37"/>
      <c r="T45" s="37"/>
      <c r="U45" s="37"/>
      <c r="V45" s="49"/>
    </row>
    <row r="46" spans="1:22" s="6" customFormat="1" ht="10.9" customHeight="1" x14ac:dyDescent="0.25">
      <c r="A46" s="9" t="s">
        <v>142</v>
      </c>
      <c r="B46" s="49"/>
      <c r="C46" s="37"/>
      <c r="D46" s="37"/>
      <c r="E46" s="37"/>
      <c r="F46" s="37"/>
      <c r="G46" s="49"/>
      <c r="H46" s="37"/>
      <c r="I46" s="37"/>
      <c r="J46" s="37"/>
      <c r="K46" s="37"/>
      <c r="L46" s="49"/>
      <c r="M46" s="37"/>
      <c r="N46" s="37"/>
      <c r="O46" s="37"/>
      <c r="P46" s="37"/>
      <c r="Q46" s="49"/>
      <c r="R46" s="37"/>
      <c r="S46" s="37"/>
      <c r="T46" s="37"/>
      <c r="U46" s="37"/>
      <c r="V46" s="49"/>
    </row>
    <row r="47" spans="1:22" s="6" customFormat="1" ht="10.9" customHeight="1" x14ac:dyDescent="0.25">
      <c r="A47" s="29" t="s">
        <v>138</v>
      </c>
      <c r="B47" s="49">
        <v>0</v>
      </c>
      <c r="C47" s="37"/>
      <c r="D47" s="37"/>
      <c r="E47" s="37"/>
      <c r="F47" s="37"/>
      <c r="G47" s="49">
        <v>72</v>
      </c>
      <c r="H47" s="37"/>
      <c r="I47" s="37"/>
      <c r="J47" s="37"/>
      <c r="K47" s="37"/>
      <c r="L47" s="49">
        <v>57</v>
      </c>
      <c r="M47" s="37"/>
      <c r="N47" s="37"/>
      <c r="O47" s="37"/>
      <c r="P47" s="37"/>
      <c r="Q47" s="49">
        <v>39</v>
      </c>
      <c r="R47" s="37"/>
      <c r="S47" s="37"/>
      <c r="T47" s="37"/>
      <c r="U47" s="37"/>
      <c r="V47" s="49"/>
    </row>
    <row r="48" spans="1:22" s="6" customFormat="1" ht="10.9" customHeight="1" thickBot="1" x14ac:dyDescent="0.3">
      <c r="A48" s="29" t="s">
        <v>139</v>
      </c>
      <c r="B48" s="92">
        <v>28</v>
      </c>
      <c r="C48" s="37"/>
      <c r="D48" s="37"/>
      <c r="E48" s="37"/>
      <c r="F48" s="37"/>
      <c r="G48" s="92">
        <v>86</v>
      </c>
      <c r="H48" s="37"/>
      <c r="I48" s="37"/>
      <c r="J48" s="37"/>
      <c r="K48" s="37"/>
      <c r="L48" s="92">
        <v>32</v>
      </c>
      <c r="M48" s="37"/>
      <c r="N48" s="37"/>
      <c r="O48" s="37"/>
      <c r="P48" s="37"/>
      <c r="Q48" s="92">
        <v>107</v>
      </c>
      <c r="R48" s="37"/>
      <c r="S48" s="37"/>
      <c r="T48" s="37"/>
      <c r="U48" s="37"/>
      <c r="V48" s="92"/>
    </row>
    <row r="49" spans="1:18" s="4" customFormat="1" ht="10.9" customHeight="1" x14ac:dyDescent="0.25">
      <c r="A49" s="2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1:18" s="4" customFormat="1" ht="10.9" customHeight="1" x14ac:dyDescent="0.25">
      <c r="A50" s="84"/>
      <c r="B50" s="37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37"/>
      <c r="R50" s="46"/>
    </row>
    <row r="51" spans="1:18" s="4" customFormat="1" ht="10.9" customHeight="1" x14ac:dyDescent="0.25">
      <c r="A51" s="2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1:18" s="4" customFormat="1" ht="10.9" customHeight="1" x14ac:dyDescent="0.25">
      <c r="A52" s="2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1:18" s="4" customFormat="1" ht="10.9" customHeight="1" x14ac:dyDescent="0.25">
      <c r="A53" s="2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1:18" s="4" customFormat="1" ht="10.9" customHeight="1" x14ac:dyDescent="0.25">
      <c r="A54" s="2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1:18" s="4" customFormat="1" ht="10.9" customHeight="1" x14ac:dyDescent="0.25">
      <c r="A55" s="2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1:18" s="4" customFormat="1" ht="10.9" customHeight="1" x14ac:dyDescent="0.25">
      <c r="A56" s="2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1:18" s="4" customFormat="1" ht="10.9" customHeight="1" x14ac:dyDescent="0.25">
      <c r="A57" s="2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1:18" s="4" customFormat="1" ht="10.9" customHeight="1" x14ac:dyDescent="0.25">
      <c r="A58" s="2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1:18" s="3" customFormat="1" ht="10.9" customHeight="1" x14ac:dyDescent="0.2">
      <c r="A59" s="17"/>
    </row>
    <row r="60" spans="1:18" s="3" customFormat="1" ht="10.9" customHeight="1" x14ac:dyDescent="0.2"/>
    <row r="61" spans="1:18" s="3" customFormat="1" ht="10.9" customHeight="1" x14ac:dyDescent="0.2"/>
    <row r="62" spans="1:18" s="3" customFormat="1" ht="10.9" customHeight="1" x14ac:dyDescent="0.2"/>
    <row r="63" spans="1:18" s="3" customFormat="1" ht="10.9" customHeight="1" x14ac:dyDescent="0.2"/>
    <row r="64" spans="1:18" s="3" customFormat="1" ht="10.9" customHeight="1" x14ac:dyDescent="0.2"/>
    <row r="65" s="3" customFormat="1" ht="10.9" customHeight="1" x14ac:dyDescent="0.2"/>
    <row r="66" s="3" customFormat="1" ht="10.9" customHeight="1" x14ac:dyDescent="0.2"/>
    <row r="67" s="3" customFormat="1" ht="10.9" customHeight="1" x14ac:dyDescent="0.2"/>
    <row r="68" s="3" customFormat="1" ht="10.9" customHeight="1" x14ac:dyDescent="0.2"/>
    <row r="69" s="3" customFormat="1" ht="10.9" customHeight="1" x14ac:dyDescent="0.2"/>
    <row r="70" s="3" customFormat="1" ht="10.9" customHeight="1" x14ac:dyDescent="0.2"/>
    <row r="71" s="3" customFormat="1" ht="10.9" customHeight="1" x14ac:dyDescent="0.2"/>
    <row r="72" s="3" customFormat="1" ht="10.9" customHeight="1" x14ac:dyDescent="0.2"/>
    <row r="73" s="3" customFormat="1" ht="10.9" customHeight="1" x14ac:dyDescent="0.2"/>
    <row r="74" s="3" customFormat="1" ht="10.9" customHeight="1" x14ac:dyDescent="0.2"/>
    <row r="75" s="3" customFormat="1" ht="10.9" customHeight="1" x14ac:dyDescent="0.2"/>
    <row r="76" s="3" customFormat="1" ht="10.9" customHeight="1" x14ac:dyDescent="0.2"/>
    <row r="77" s="3" customFormat="1" ht="10.9" customHeight="1" x14ac:dyDescent="0.2"/>
    <row r="78" s="3" customFormat="1" ht="10.9" customHeight="1" x14ac:dyDescent="0.2"/>
    <row r="79" s="3" customFormat="1" ht="10.9" customHeight="1" x14ac:dyDescent="0.2"/>
    <row r="80" s="3" customFormat="1" ht="10.9" customHeight="1" x14ac:dyDescent="0.2"/>
    <row r="81" s="3" customFormat="1" ht="10.9" customHeight="1" x14ac:dyDescent="0.2"/>
    <row r="82" s="3" customFormat="1" ht="10.9" customHeight="1" x14ac:dyDescent="0.2"/>
    <row r="83" s="3" customFormat="1" ht="10.9" customHeight="1" x14ac:dyDescent="0.2"/>
    <row r="84" s="3" customFormat="1" ht="10.9" customHeight="1" x14ac:dyDescent="0.2"/>
    <row r="85" s="3" customFormat="1" ht="10.9" customHeight="1" x14ac:dyDescent="0.2"/>
    <row r="86" s="3" customFormat="1" ht="10.9" customHeight="1" x14ac:dyDescent="0.2"/>
    <row r="87" s="3" customFormat="1" ht="10.9" customHeight="1" x14ac:dyDescent="0.2"/>
    <row r="88" s="3" customFormat="1" ht="10.9" customHeight="1" x14ac:dyDescent="0.2"/>
    <row r="89" s="3" customFormat="1" ht="10.9" customHeight="1" x14ac:dyDescent="0.2"/>
    <row r="90" s="3" customFormat="1" ht="10.9" customHeight="1" x14ac:dyDescent="0.2"/>
    <row r="91" s="3" customFormat="1" ht="10.9" customHeight="1" x14ac:dyDescent="0.2"/>
    <row r="92" s="3" customFormat="1" ht="10.9" customHeight="1" x14ac:dyDescent="0.2"/>
    <row r="93" s="3" customFormat="1" ht="10.9" customHeight="1" x14ac:dyDescent="0.2"/>
    <row r="94" s="3" customFormat="1" ht="10.9" customHeight="1" x14ac:dyDescent="0.2"/>
    <row r="95" s="3" customFormat="1" ht="10.9" customHeight="1" x14ac:dyDescent="0.2"/>
    <row r="96" s="3" customFormat="1" ht="10.9" customHeight="1" x14ac:dyDescent="0.2"/>
    <row r="97" s="3" customFormat="1" ht="10.9" customHeight="1" x14ac:dyDescent="0.2"/>
    <row r="98" s="3" customFormat="1" ht="10.9" customHeight="1" x14ac:dyDescent="0.2"/>
    <row r="99" s="3" customFormat="1" ht="10.9" customHeight="1" x14ac:dyDescent="0.2"/>
    <row r="100" s="3" customFormat="1" ht="10.9" customHeight="1" x14ac:dyDescent="0.2"/>
    <row r="101" s="3" customFormat="1" ht="10.9" customHeight="1" x14ac:dyDescent="0.2"/>
    <row r="102" s="3" customFormat="1" ht="10.9" customHeight="1" x14ac:dyDescent="0.2"/>
    <row r="103" s="3" customFormat="1" ht="10.9" customHeight="1" x14ac:dyDescent="0.2"/>
    <row r="104" s="3" customFormat="1" ht="10.9" customHeight="1" x14ac:dyDescent="0.2"/>
    <row r="105" s="3" customFormat="1" ht="10.9" customHeight="1" x14ac:dyDescent="0.2"/>
    <row r="106" s="3" customFormat="1" ht="10.9" customHeight="1" x14ac:dyDescent="0.2"/>
    <row r="107" s="3" customFormat="1" ht="10.9" customHeight="1" x14ac:dyDescent="0.2"/>
    <row r="108" s="3" customFormat="1" ht="10.9" customHeight="1" x14ac:dyDescent="0.2"/>
    <row r="109" s="3" customFormat="1" ht="10.9" customHeight="1" x14ac:dyDescent="0.2"/>
    <row r="110" s="3" customFormat="1" ht="10.9" customHeight="1" x14ac:dyDescent="0.2"/>
    <row r="111" s="3" customFormat="1" ht="10.9" customHeight="1" x14ac:dyDescent="0.2"/>
    <row r="112" s="3" customFormat="1" ht="10.9" customHeight="1" x14ac:dyDescent="0.2"/>
    <row r="113" s="3" customFormat="1" ht="10.9" customHeight="1" x14ac:dyDescent="0.2"/>
    <row r="114" s="3" customFormat="1" ht="10.9" customHeight="1" x14ac:dyDescent="0.2"/>
    <row r="115" s="3" customFormat="1" ht="10.9" customHeight="1" x14ac:dyDescent="0.2"/>
    <row r="116" s="3" customFormat="1" ht="10.9" customHeight="1" x14ac:dyDescent="0.2"/>
    <row r="117" s="3" customFormat="1" ht="10.9" customHeight="1" x14ac:dyDescent="0.2"/>
    <row r="118" s="3" customFormat="1" ht="10.9" customHeight="1" x14ac:dyDescent="0.2"/>
    <row r="119" s="3" customFormat="1" ht="10.9" customHeight="1" x14ac:dyDescent="0.2"/>
    <row r="120" s="3" customFormat="1" ht="10.9" customHeight="1" x14ac:dyDescent="0.2"/>
    <row r="121" s="3" customFormat="1" ht="10.9" customHeight="1" x14ac:dyDescent="0.2"/>
    <row r="122" s="3" customFormat="1" ht="10.9" customHeight="1" x14ac:dyDescent="0.2"/>
    <row r="123" s="3" customFormat="1" ht="10.9" customHeight="1" x14ac:dyDescent="0.2"/>
    <row r="124" s="3" customFormat="1" ht="10.9" customHeight="1" x14ac:dyDescent="0.2"/>
    <row r="125" s="3" customFormat="1" ht="10.9" customHeight="1" x14ac:dyDescent="0.2"/>
    <row r="126" s="3" customFormat="1" ht="10.9" customHeight="1" x14ac:dyDescent="0.2"/>
    <row r="127" s="3" customFormat="1" ht="10.9" customHeight="1" x14ac:dyDescent="0.2"/>
    <row r="128" s="3" customFormat="1" ht="10.9" customHeight="1" x14ac:dyDescent="0.2"/>
    <row r="129" s="3" customFormat="1" ht="10.9" customHeight="1" x14ac:dyDescent="0.2"/>
    <row r="130" s="3" customFormat="1" ht="10.9" customHeight="1" x14ac:dyDescent="0.2"/>
    <row r="131" s="3" customFormat="1" ht="10.9" customHeight="1" x14ac:dyDescent="0.2"/>
    <row r="132" s="3" customFormat="1" ht="10.9" customHeight="1" x14ac:dyDescent="0.2"/>
    <row r="133" s="3" customFormat="1" ht="10.9" customHeight="1" x14ac:dyDescent="0.2"/>
    <row r="134" s="3" customFormat="1" ht="10.9" customHeight="1" x14ac:dyDescent="0.2"/>
    <row r="135" s="3" customFormat="1" ht="10.9" customHeight="1" x14ac:dyDescent="0.2"/>
  </sheetData>
  <mergeCells count="8">
    <mergeCell ref="C1:G1"/>
    <mergeCell ref="C3:F3"/>
    <mergeCell ref="R1:V1"/>
    <mergeCell ref="R3:U3"/>
    <mergeCell ref="M1:Q1"/>
    <mergeCell ref="M3:P3"/>
    <mergeCell ref="H1:L1"/>
    <mergeCell ref="H3:K3"/>
  </mergeCells>
  <phoneticPr fontId="5" type="noConversion"/>
  <printOptions horizontalCentered="1"/>
  <pageMargins left="0.25" right="0.25" top="0.75" bottom="0.75" header="0.3" footer="0.3"/>
  <pageSetup scale="50" orientation="landscape" r:id="rId1"/>
  <headerFooter alignWithMargins="0"/>
  <ignoredErrors>
    <ignoredError sqref="G38:G40 G21:G27 B22:B23 B39 B28:B29 B41 G4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W123"/>
  <sheetViews>
    <sheetView view="pageBreakPreview" topLeftCell="D1" zoomScale="85" zoomScaleNormal="100" zoomScaleSheetLayoutView="85" workbookViewId="0">
      <selection activeCell="W1" sqref="W1:W1048576"/>
    </sheetView>
  </sheetViews>
  <sheetFormatPr defaultColWidth="9.81640625" defaultRowHeight="10.9" customHeight="1" outlineLevelRow="1" outlineLevelCol="1" x14ac:dyDescent="0.2"/>
  <cols>
    <col min="1" max="1" width="67.26953125" style="1" bestFit="1" customWidth="1"/>
    <col min="2" max="2" width="9.81640625" style="1"/>
    <col min="3" max="6" width="9.81640625" style="1" customWidth="1" outlineLevel="1"/>
    <col min="7" max="7" width="9.81640625" style="1"/>
    <col min="8" max="11" width="9.81640625" style="1" customWidth="1" outlineLevel="1"/>
    <col min="12" max="12" width="9.81640625" style="1"/>
    <col min="13" max="16" width="9.81640625" style="1" customWidth="1" outlineLevel="1"/>
    <col min="17" max="18" width="9.81640625" style="1"/>
    <col min="19" max="20" width="9.81640625" style="1" customWidth="1"/>
    <col min="21" max="21" width="9.81640625" style="1" hidden="1" customWidth="1"/>
    <col min="22" max="22" width="16.26953125" style="1" bestFit="1" customWidth="1"/>
    <col min="23" max="16384" width="9.81640625" style="1"/>
  </cols>
  <sheetData>
    <row r="1" spans="1:23" s="3" customFormat="1" ht="10.9" customHeight="1" thickBot="1" x14ac:dyDescent="0.3">
      <c r="A1" s="27" t="s">
        <v>44</v>
      </c>
      <c r="B1" s="72" t="s">
        <v>22</v>
      </c>
      <c r="C1" s="105" t="s">
        <v>23</v>
      </c>
      <c r="D1" s="106"/>
      <c r="E1" s="106"/>
      <c r="F1" s="106"/>
      <c r="G1" s="107"/>
      <c r="H1" s="105" t="s">
        <v>42</v>
      </c>
      <c r="I1" s="106"/>
      <c r="J1" s="106"/>
      <c r="K1" s="106"/>
      <c r="L1" s="107"/>
      <c r="M1" s="105" t="s">
        <v>43</v>
      </c>
      <c r="N1" s="106"/>
      <c r="O1" s="106"/>
      <c r="P1" s="106"/>
      <c r="Q1" s="107"/>
      <c r="R1" s="105" t="s">
        <v>102</v>
      </c>
      <c r="S1" s="106"/>
      <c r="T1" s="106"/>
      <c r="U1" s="106"/>
      <c r="V1" s="107"/>
    </row>
    <row r="2" spans="1:23" s="3" customFormat="1" ht="10.9" customHeight="1" thickBot="1" x14ac:dyDescent="0.3">
      <c r="A2" s="3" t="s">
        <v>36</v>
      </c>
      <c r="D2" s="4"/>
      <c r="I2" s="4"/>
      <c r="N2" s="4"/>
      <c r="S2" s="4"/>
    </row>
    <row r="3" spans="1:23" s="3" customFormat="1" ht="10.9" customHeight="1" x14ac:dyDescent="0.25">
      <c r="A3" s="3" t="s">
        <v>61</v>
      </c>
      <c r="B3" s="47" t="s">
        <v>3</v>
      </c>
      <c r="C3" s="108" t="s">
        <v>0</v>
      </c>
      <c r="D3" s="108"/>
      <c r="E3" s="108"/>
      <c r="F3" s="108"/>
      <c r="G3" s="47" t="s">
        <v>3</v>
      </c>
      <c r="H3" s="108" t="s">
        <v>0</v>
      </c>
      <c r="I3" s="108"/>
      <c r="J3" s="108"/>
      <c r="K3" s="108"/>
      <c r="L3" s="47" t="s">
        <v>3</v>
      </c>
      <c r="M3" s="108" t="s">
        <v>0</v>
      </c>
      <c r="N3" s="108"/>
      <c r="O3" s="108"/>
      <c r="P3" s="108"/>
      <c r="Q3" s="47" t="s">
        <v>3</v>
      </c>
      <c r="R3" s="108" t="s">
        <v>0</v>
      </c>
      <c r="S3" s="108"/>
      <c r="T3" s="108"/>
      <c r="U3" s="108"/>
      <c r="V3" s="47" t="s">
        <v>134</v>
      </c>
    </row>
    <row r="4" spans="1:23" s="6" customFormat="1" ht="10.9" customHeight="1" x14ac:dyDescent="0.25">
      <c r="A4" s="9"/>
      <c r="B4" s="48">
        <v>43465</v>
      </c>
      <c r="C4" s="5">
        <v>43554</v>
      </c>
      <c r="D4" s="5">
        <v>43645</v>
      </c>
      <c r="E4" s="5">
        <v>43736</v>
      </c>
      <c r="F4" s="5">
        <v>43830</v>
      </c>
      <c r="G4" s="48">
        <v>43830</v>
      </c>
      <c r="H4" s="5">
        <v>43918</v>
      </c>
      <c r="I4" s="5">
        <v>44009</v>
      </c>
      <c r="J4" s="5">
        <v>44100</v>
      </c>
      <c r="K4" s="5">
        <v>44196</v>
      </c>
      <c r="L4" s="48">
        <v>44196</v>
      </c>
      <c r="M4" s="5">
        <v>44289</v>
      </c>
      <c r="N4" s="5">
        <v>44380</v>
      </c>
      <c r="O4" s="5">
        <v>44471</v>
      </c>
      <c r="P4" s="5">
        <v>44561</v>
      </c>
      <c r="Q4" s="48">
        <v>44561</v>
      </c>
      <c r="R4" s="5">
        <v>44289</v>
      </c>
      <c r="S4" s="5">
        <v>44744</v>
      </c>
      <c r="T4" s="5">
        <f>'Income Statement'!T4</f>
        <v>44835</v>
      </c>
      <c r="U4" s="5">
        <v>44926</v>
      </c>
      <c r="V4" s="48">
        <v>44835</v>
      </c>
    </row>
    <row r="5" spans="1:23" s="6" customFormat="1" ht="10.9" customHeight="1" x14ac:dyDescent="0.25">
      <c r="A5" s="38" t="s">
        <v>37</v>
      </c>
      <c r="B5" s="57"/>
      <c r="C5" s="7"/>
      <c r="D5" s="7"/>
      <c r="E5" s="8"/>
      <c r="F5" s="8"/>
      <c r="G5" s="57"/>
      <c r="H5" s="7"/>
      <c r="I5" s="7"/>
      <c r="J5" s="8"/>
      <c r="K5" s="8"/>
      <c r="L5" s="57"/>
      <c r="M5" s="7"/>
      <c r="N5" s="7"/>
      <c r="O5" s="8"/>
      <c r="P5" s="8"/>
      <c r="Q5" s="57"/>
      <c r="R5" s="7"/>
      <c r="S5" s="7"/>
      <c r="T5" s="8"/>
      <c r="U5" s="8"/>
      <c r="V5" s="57"/>
    </row>
    <row r="6" spans="1:23" s="6" customFormat="1" ht="10.9" customHeight="1" x14ac:dyDescent="0.25">
      <c r="A6" s="10" t="s">
        <v>5</v>
      </c>
      <c r="B6" s="49">
        <f>'Cash Flows YTD'!B6</f>
        <v>405</v>
      </c>
      <c r="C6" s="11">
        <f>'Cash Flows YTD'!C6</f>
        <v>48</v>
      </c>
      <c r="D6" s="11">
        <f>'Cash Flows YTD'!D6-'Cash Flows YTD'!C6</f>
        <v>-11</v>
      </c>
      <c r="E6" s="15">
        <f>'Cash Flows YTD'!E6-'Cash Flows YTD'!D6</f>
        <v>8</v>
      </c>
      <c r="F6" s="11">
        <f>'Cash Flows YTD'!F6-'Cash Flows YTD'!E6</f>
        <v>-9</v>
      </c>
      <c r="G6" s="49">
        <f>SUM(C6:F6)</f>
        <v>36</v>
      </c>
      <c r="H6" s="11">
        <f>'Cash Flows YTD'!H6</f>
        <v>-21</v>
      </c>
      <c r="I6" s="11">
        <f>'Cash Flows YTD'!I6-'Cash Flows YTD'!H6</f>
        <v>-76</v>
      </c>
      <c r="J6" s="11">
        <f>'Cash Flows YTD'!J6-'Cash Flows YTD'!I6</f>
        <v>75</v>
      </c>
      <c r="K6" s="11">
        <f>'Cash Flows YTD'!K6-'Cash Flows YTD'!J6</f>
        <v>59</v>
      </c>
      <c r="L6" s="49">
        <f>SUM(H6:K6)</f>
        <v>37</v>
      </c>
      <c r="M6" s="11">
        <f>'Cash Flows YTD'!M6</f>
        <v>49</v>
      </c>
      <c r="N6" s="11">
        <f>'Cash Flows YTD'!N6-'Cash Flows YTD'!M6</f>
        <v>58</v>
      </c>
      <c r="O6" s="11">
        <f>'Cash Flows YTD'!O6-'Cash Flows YTD'!N6</f>
        <v>68</v>
      </c>
      <c r="P6" s="11">
        <f>'Cash Flows YTD'!P6-'Cash Flows YTD'!O6</f>
        <v>67</v>
      </c>
      <c r="Q6" s="49">
        <f>SUM(M6:P6)</f>
        <v>242</v>
      </c>
      <c r="R6" s="11">
        <f>'Cash Flows YTD'!R6</f>
        <v>87</v>
      </c>
      <c r="S6" s="11">
        <f>'Cash Flows YTD'!S6-'Cash Flows YTD'!R6</f>
        <v>94</v>
      </c>
      <c r="T6" s="11">
        <f>'Cash Flows YTD'!T6-'Cash Flows YTD'!S6</f>
        <v>63</v>
      </c>
      <c r="U6" s="11"/>
      <c r="V6" s="49">
        <f>SUM(R6:U6)</f>
        <v>244</v>
      </c>
      <c r="W6" s="99"/>
    </row>
    <row r="7" spans="1:23" s="16" customFormat="1" ht="10.9" customHeight="1" x14ac:dyDescent="0.2">
      <c r="A7" s="12" t="s">
        <v>6</v>
      </c>
      <c r="B7" s="52"/>
      <c r="C7" s="15"/>
      <c r="D7" s="15"/>
      <c r="E7" s="15"/>
      <c r="F7" s="15"/>
      <c r="G7" s="52"/>
      <c r="H7" s="15"/>
      <c r="I7" s="15"/>
      <c r="J7" s="15"/>
      <c r="K7" s="15"/>
      <c r="L7" s="52"/>
      <c r="M7" s="15"/>
      <c r="N7" s="15"/>
      <c r="O7" s="15"/>
      <c r="P7" s="15"/>
      <c r="Q7" s="52"/>
      <c r="R7" s="15"/>
      <c r="S7" s="15"/>
      <c r="T7" s="15"/>
      <c r="U7" s="15"/>
      <c r="V7" s="52"/>
      <c r="W7" s="99"/>
    </row>
    <row r="8" spans="1:23" s="16" customFormat="1" ht="10.9" customHeight="1" x14ac:dyDescent="0.2">
      <c r="A8" s="29" t="s">
        <v>7</v>
      </c>
      <c r="B8" s="52">
        <f>'Cash Flows YTD'!B8</f>
        <v>66</v>
      </c>
      <c r="C8" s="15">
        <f>'Cash Flows YTD'!C8</f>
        <v>16</v>
      </c>
      <c r="D8" s="15">
        <f>'Cash Flows YTD'!D8-'Cash Flows YTD'!C8</f>
        <v>20</v>
      </c>
      <c r="E8" s="15">
        <f>'Cash Flows YTD'!E8-'Cash Flows YTD'!D8</f>
        <v>19</v>
      </c>
      <c r="F8" s="15">
        <f>'Cash Flows YTD'!F8-'Cash Flows YTD'!E8</f>
        <v>25</v>
      </c>
      <c r="G8" s="52">
        <f t="shared" ref="G8:G20" si="0">SUM(C8:F8)</f>
        <v>80</v>
      </c>
      <c r="H8" s="15">
        <f>'Cash Flows YTD'!H8</f>
        <v>21</v>
      </c>
      <c r="I8" s="15">
        <f>'Cash Flows YTD'!I8-'Cash Flows YTD'!H8</f>
        <v>21</v>
      </c>
      <c r="J8" s="15">
        <f>'Cash Flows YTD'!J8-'Cash Flows YTD'!I8</f>
        <v>22</v>
      </c>
      <c r="K8" s="15">
        <f>'Cash Flows YTD'!K8-'Cash Flows YTD'!J8</f>
        <v>22</v>
      </c>
      <c r="L8" s="52">
        <f t="shared" ref="L8:L20" si="1">SUM(H8:K8)</f>
        <v>86</v>
      </c>
      <c r="M8" s="15">
        <f>'Cash Flows YTD'!M8</f>
        <v>23</v>
      </c>
      <c r="N8" s="15">
        <f>'Cash Flows YTD'!N8-'Cash Flows YTD'!M8</f>
        <v>22</v>
      </c>
      <c r="O8" s="15">
        <f>'Cash Flows YTD'!O8-'Cash Flows YTD'!N8</f>
        <v>22</v>
      </c>
      <c r="P8" s="15">
        <f>'Cash Flows YTD'!P8-'Cash Flows YTD'!O8</f>
        <v>21</v>
      </c>
      <c r="Q8" s="52">
        <f t="shared" ref="Q8:Q20" si="2">SUM(M8:P8)</f>
        <v>88</v>
      </c>
      <c r="R8" s="15">
        <f>'Cash Flows YTD'!R8</f>
        <v>20</v>
      </c>
      <c r="S8" s="15">
        <f>'Cash Flows YTD'!S8-'Cash Flows YTD'!R8</f>
        <v>25</v>
      </c>
      <c r="T8" s="15">
        <f>'Cash Flows YTD'!T8-'Cash Flows YTD'!S8</f>
        <v>24</v>
      </c>
      <c r="U8" s="15"/>
      <c r="V8" s="52">
        <f t="shared" ref="V8:V12" si="3">SUM(R8:U8)</f>
        <v>69</v>
      </c>
      <c r="W8" s="99"/>
    </row>
    <row r="9" spans="1:23" s="16" customFormat="1" ht="10.9" customHeight="1" x14ac:dyDescent="0.2">
      <c r="A9" s="29" t="s">
        <v>118</v>
      </c>
      <c r="B9" s="52">
        <f>'Cash Flows YTD'!B9</f>
        <v>20</v>
      </c>
      <c r="C9" s="15">
        <f>'Cash Flows YTD'!C9</f>
        <v>7</v>
      </c>
      <c r="D9" s="15">
        <f>'Cash Flows YTD'!D9-'Cash Flows YTD'!C9</f>
        <v>7</v>
      </c>
      <c r="E9" s="15">
        <f>'Cash Flows YTD'!E9-'Cash Flows YTD'!D9</f>
        <v>8</v>
      </c>
      <c r="F9" s="15">
        <f>'Cash Flows YTD'!F9-'Cash Flows YTD'!E9</f>
        <v>3</v>
      </c>
      <c r="G9" s="52">
        <f t="shared" si="0"/>
        <v>25</v>
      </c>
      <c r="H9" s="15">
        <f>'Cash Flows YTD'!H9</f>
        <v>7</v>
      </c>
      <c r="I9" s="15">
        <f>'Cash Flows YTD'!I9-'Cash Flows YTD'!H9</f>
        <v>7</v>
      </c>
      <c r="J9" s="15">
        <f>'Cash Flows YTD'!J9-'Cash Flows YTD'!I9</f>
        <v>7</v>
      </c>
      <c r="K9" s="15">
        <f>'Cash Flows YTD'!K9-'Cash Flows YTD'!J9</f>
        <v>8</v>
      </c>
      <c r="L9" s="52">
        <f t="shared" si="1"/>
        <v>29</v>
      </c>
      <c r="M9" s="15">
        <f>'Cash Flows YTD'!M9</f>
        <v>9</v>
      </c>
      <c r="N9" s="15">
        <f>'Cash Flows YTD'!N9-'Cash Flows YTD'!M9</f>
        <v>10</v>
      </c>
      <c r="O9" s="15">
        <f>'Cash Flows YTD'!O9-'Cash Flows YTD'!N9</f>
        <v>10</v>
      </c>
      <c r="P9" s="15">
        <f>'Cash Flows YTD'!P9-'Cash Flows YTD'!O9</f>
        <v>10</v>
      </c>
      <c r="Q9" s="52">
        <f t="shared" si="2"/>
        <v>39</v>
      </c>
      <c r="R9" s="15">
        <f>'Cash Flows YTD'!R9</f>
        <v>11</v>
      </c>
      <c r="S9" s="15">
        <f>'Cash Flows YTD'!S9-'Cash Flows YTD'!R9</f>
        <v>11</v>
      </c>
      <c r="T9" s="15">
        <f>'Cash Flows YTD'!T9-'Cash Flows YTD'!S9</f>
        <v>14</v>
      </c>
      <c r="U9" s="15"/>
      <c r="V9" s="52">
        <f t="shared" si="3"/>
        <v>36</v>
      </c>
      <c r="W9" s="99"/>
    </row>
    <row r="10" spans="1:23" s="16" customFormat="1" ht="10.9" customHeight="1" x14ac:dyDescent="0.2">
      <c r="A10" s="29" t="s">
        <v>16</v>
      </c>
      <c r="B10" s="52">
        <f>'Cash Flows YTD'!B10</f>
        <v>-323</v>
      </c>
      <c r="C10" s="15">
        <f>'Cash Flows YTD'!C10</f>
        <v>0</v>
      </c>
      <c r="D10" s="15">
        <f>'Cash Flows YTD'!D10-'Cash Flows YTD'!C10</f>
        <v>0</v>
      </c>
      <c r="E10" s="15">
        <f>'Cash Flows YTD'!E10-'Cash Flows YTD'!D10</f>
        <v>0</v>
      </c>
      <c r="F10" s="15">
        <f>'Cash Flows YTD'!F10-'Cash Flows YTD'!E10</f>
        <v>-25</v>
      </c>
      <c r="G10" s="52">
        <f t="shared" si="0"/>
        <v>-25</v>
      </c>
      <c r="H10" s="15">
        <f>'Cash Flows YTD'!H10</f>
        <v>0</v>
      </c>
      <c r="I10" s="15">
        <f>'Cash Flows YTD'!I10-'Cash Flows YTD'!H10</f>
        <v>0</v>
      </c>
      <c r="J10" s="15">
        <f>'Cash Flows YTD'!J10-'Cash Flows YTD'!I10</f>
        <v>0</v>
      </c>
      <c r="K10" s="15">
        <f>'Cash Flows YTD'!K10-'Cash Flows YTD'!J10</f>
        <v>22</v>
      </c>
      <c r="L10" s="52">
        <f t="shared" si="1"/>
        <v>22</v>
      </c>
      <c r="M10" s="15">
        <f>'Cash Flows YTD'!M10</f>
        <v>0</v>
      </c>
      <c r="N10" s="15">
        <f>'Cash Flows YTD'!N10-'Cash Flows YTD'!M10</f>
        <v>0</v>
      </c>
      <c r="O10" s="15">
        <f>'Cash Flows YTD'!O10-'Cash Flows YTD'!N10</f>
        <v>0</v>
      </c>
      <c r="P10" s="15">
        <f>'Cash Flows YTD'!P10-'Cash Flows YTD'!O10</f>
        <v>6</v>
      </c>
      <c r="Q10" s="52">
        <f t="shared" si="2"/>
        <v>6</v>
      </c>
      <c r="R10" s="15">
        <f>'Cash Flows YTD'!R10</f>
        <v>0</v>
      </c>
      <c r="S10" s="15">
        <f>'Cash Flows YTD'!S10-'Cash Flows YTD'!R10</f>
        <v>0</v>
      </c>
      <c r="T10" s="15">
        <f>'Cash Flows YTD'!T10-'Cash Flows YTD'!S10</f>
        <v>0</v>
      </c>
      <c r="U10" s="15"/>
      <c r="V10" s="52">
        <f t="shared" si="3"/>
        <v>0</v>
      </c>
      <c r="W10" s="99"/>
    </row>
    <row r="11" spans="1:23" s="16" customFormat="1" ht="10.9" customHeight="1" x14ac:dyDescent="0.2">
      <c r="A11" s="29" t="s">
        <v>95</v>
      </c>
      <c r="B11" s="52">
        <v>0</v>
      </c>
      <c r="C11" s="15">
        <v>0</v>
      </c>
      <c r="D11" s="15">
        <v>0</v>
      </c>
      <c r="E11" s="15">
        <v>0</v>
      </c>
      <c r="F11" s="15">
        <v>0</v>
      </c>
      <c r="G11" s="52">
        <v>0</v>
      </c>
      <c r="H11" s="15">
        <v>0</v>
      </c>
      <c r="I11" s="15">
        <v>0</v>
      </c>
      <c r="J11" s="15">
        <v>0</v>
      </c>
      <c r="K11" s="15">
        <v>0</v>
      </c>
      <c r="L11" s="52"/>
      <c r="M11" s="15">
        <f>'Cash Flows YTD'!M11</f>
        <v>23</v>
      </c>
      <c r="N11" s="15">
        <f>'Cash Flows YTD'!N11-'Cash Flows YTD'!M11</f>
        <v>0</v>
      </c>
      <c r="O11" s="15">
        <f>'Cash Flows YTD'!O11-'Cash Flows YTD'!N11</f>
        <v>18</v>
      </c>
      <c r="P11" s="15">
        <f>'Cash Flows YTD'!P11-'Cash Flows YTD'!O11</f>
        <v>0</v>
      </c>
      <c r="Q11" s="52">
        <f t="shared" si="2"/>
        <v>41</v>
      </c>
      <c r="R11" s="15">
        <f>'Cash Flows YTD'!R11</f>
        <v>0</v>
      </c>
      <c r="S11" s="15">
        <f>'Cash Flows YTD'!S11-'Cash Flows YTD'!R11</f>
        <v>0</v>
      </c>
      <c r="T11" s="15">
        <f>'Cash Flows YTD'!T11-'Cash Flows YTD'!S11</f>
        <v>0</v>
      </c>
      <c r="U11" s="15"/>
      <c r="V11" s="52">
        <f t="shared" si="3"/>
        <v>0</v>
      </c>
      <c r="W11" s="99"/>
    </row>
    <row r="12" spans="1:23" s="16" customFormat="1" ht="10.9" customHeight="1" x14ac:dyDescent="0.2">
      <c r="A12" s="29" t="s">
        <v>120</v>
      </c>
      <c r="B12" s="52">
        <f>'Cash Flows YTD'!B12</f>
        <v>22</v>
      </c>
      <c r="C12" s="15">
        <f>'Cash Flows YTD'!C12</f>
        <v>3</v>
      </c>
      <c r="D12" s="15">
        <f>'Cash Flows YTD'!D12-'Cash Flows YTD'!C12</f>
        <v>17</v>
      </c>
      <c r="E12" s="15">
        <f>'Cash Flows YTD'!E12-'Cash Flows YTD'!D12</f>
        <v>2</v>
      </c>
      <c r="F12" s="15">
        <f>'Cash Flows YTD'!F12-'Cash Flows YTD'!E12</f>
        <v>2</v>
      </c>
      <c r="G12" s="52">
        <f t="shared" si="0"/>
        <v>24</v>
      </c>
      <c r="H12" s="15">
        <f>'Cash Flows YTD'!H12</f>
        <v>17</v>
      </c>
      <c r="I12" s="15">
        <f>'Cash Flows YTD'!I12-'Cash Flows YTD'!H12</f>
        <v>10</v>
      </c>
      <c r="J12" s="15">
        <f>'Cash Flows YTD'!J12-'Cash Flows YTD'!I12</f>
        <v>-3</v>
      </c>
      <c r="K12" s="15">
        <f>'Cash Flows YTD'!K12-'Cash Flows YTD'!J12</f>
        <v>2</v>
      </c>
      <c r="L12" s="52">
        <f t="shared" si="1"/>
        <v>26</v>
      </c>
      <c r="M12" s="15">
        <f>'Cash Flows YTD'!M12</f>
        <v>-4</v>
      </c>
      <c r="N12" s="15">
        <f>'Cash Flows YTD'!N12-'Cash Flows YTD'!M12</f>
        <v>-10</v>
      </c>
      <c r="O12" s="15">
        <f>'Cash Flows YTD'!O12-'Cash Flows YTD'!N12</f>
        <v>4</v>
      </c>
      <c r="P12" s="15">
        <f>'Cash Flows YTD'!P12-'Cash Flows YTD'!O12</f>
        <v>-2</v>
      </c>
      <c r="Q12" s="52">
        <f t="shared" si="2"/>
        <v>-12</v>
      </c>
      <c r="R12" s="15">
        <f>'Cash Flows YTD'!R12</f>
        <v>2</v>
      </c>
      <c r="S12" s="15">
        <f>'Cash Flows YTD'!S12-'Cash Flows YTD'!R12</f>
        <v>-7</v>
      </c>
      <c r="T12" s="15">
        <f>'Cash Flows YTD'!T12-'Cash Flows YTD'!S12</f>
        <v>13</v>
      </c>
      <c r="U12" s="15"/>
      <c r="V12" s="52">
        <f t="shared" si="3"/>
        <v>8</v>
      </c>
      <c r="W12" s="99"/>
    </row>
    <row r="13" spans="1:23" s="16" customFormat="1" ht="10.9" customHeight="1" x14ac:dyDescent="0.2">
      <c r="A13" s="12" t="s">
        <v>128</v>
      </c>
      <c r="B13" s="52"/>
      <c r="C13" s="15"/>
      <c r="D13" s="15"/>
      <c r="E13" s="15"/>
      <c r="F13" s="15"/>
      <c r="G13" s="52"/>
      <c r="H13" s="15"/>
      <c r="I13" s="15"/>
      <c r="J13" s="15"/>
      <c r="K13" s="15"/>
      <c r="L13" s="52"/>
      <c r="M13" s="15"/>
      <c r="N13" s="15"/>
      <c r="O13" s="15"/>
      <c r="P13" s="15"/>
      <c r="Q13" s="52"/>
      <c r="R13" s="15"/>
      <c r="S13" s="15"/>
      <c r="T13" s="15">
        <f>'Cash Flows YTD'!T13-'Cash Flows YTD'!S13</f>
        <v>0</v>
      </c>
      <c r="U13" s="15"/>
      <c r="V13" s="52"/>
      <c r="W13" s="99"/>
    </row>
    <row r="14" spans="1:23" s="16" customFormat="1" ht="10.9" customHeight="1" x14ac:dyDescent="0.2">
      <c r="A14" s="31" t="s">
        <v>13</v>
      </c>
      <c r="B14" s="52">
        <f>'Cash Flows YTD'!B14</f>
        <v>-62</v>
      </c>
      <c r="C14" s="15">
        <f>'Cash Flows YTD'!C14</f>
        <v>-17</v>
      </c>
      <c r="D14" s="15">
        <f>'Cash Flows YTD'!D14-'Cash Flows YTD'!C14</f>
        <v>10</v>
      </c>
      <c r="E14" s="15">
        <f>'Cash Flows YTD'!E14-'Cash Flows YTD'!D14</f>
        <v>-20</v>
      </c>
      <c r="F14" s="15">
        <f>'Cash Flows YTD'!F14-'Cash Flows YTD'!E14</f>
        <v>34</v>
      </c>
      <c r="G14" s="52">
        <f t="shared" si="0"/>
        <v>7</v>
      </c>
      <c r="H14" s="15">
        <f>'Cash Flows YTD'!H14</f>
        <v>-17</v>
      </c>
      <c r="I14" s="15">
        <f>'Cash Flows YTD'!I14-'Cash Flows YTD'!H14</f>
        <v>130</v>
      </c>
      <c r="J14" s="15">
        <f>'Cash Flows YTD'!J14-'Cash Flows YTD'!I14</f>
        <v>-177</v>
      </c>
      <c r="K14" s="15">
        <f>'Cash Flows YTD'!K14-'Cash Flows YTD'!J14</f>
        <v>37</v>
      </c>
      <c r="L14" s="52">
        <f t="shared" si="1"/>
        <v>-27</v>
      </c>
      <c r="M14" s="15">
        <f>'Cash Flows YTD'!M14</f>
        <v>-17</v>
      </c>
      <c r="N14" s="15">
        <f>'Cash Flows YTD'!N14-'Cash Flows YTD'!M14</f>
        <v>-16</v>
      </c>
      <c r="O14" s="15">
        <f>'Cash Flows YTD'!O14-'Cash Flows YTD'!N14</f>
        <v>-45</v>
      </c>
      <c r="P14" s="15">
        <f>'Cash Flows YTD'!P14-'Cash Flows YTD'!O14</f>
        <v>48</v>
      </c>
      <c r="Q14" s="52">
        <f t="shared" si="2"/>
        <v>-30</v>
      </c>
      <c r="R14" s="15">
        <f>'Cash Flows YTD'!R14</f>
        <v>-61</v>
      </c>
      <c r="S14" s="15">
        <f>'Cash Flows YTD'!S14-'Cash Flows YTD'!R14</f>
        <v>-84</v>
      </c>
      <c r="T14" s="15">
        <f>'Cash Flows YTD'!T14-'Cash Flows YTD'!S14</f>
        <v>3</v>
      </c>
      <c r="U14" s="15"/>
      <c r="V14" s="52">
        <f t="shared" ref="V14:V20" si="4">SUM(R14:U14)</f>
        <v>-142</v>
      </c>
      <c r="W14" s="99"/>
    </row>
    <row r="15" spans="1:23" s="16" customFormat="1" ht="10.9" customHeight="1" x14ac:dyDescent="0.2">
      <c r="A15" s="31" t="s">
        <v>119</v>
      </c>
      <c r="B15" s="52">
        <f>'Cash Flows YTD'!B15</f>
        <v>-172</v>
      </c>
      <c r="C15" s="15">
        <f>'Cash Flows YTD'!C15</f>
        <v>-72</v>
      </c>
      <c r="D15" s="15">
        <f>'Cash Flows YTD'!D15-'Cash Flows YTD'!C15</f>
        <v>-23</v>
      </c>
      <c r="E15" s="15">
        <f>'Cash Flows YTD'!E15-'Cash Flows YTD'!D15</f>
        <v>-14</v>
      </c>
      <c r="F15" s="15">
        <f>'Cash Flows YTD'!F15-'Cash Flows YTD'!E15</f>
        <v>65</v>
      </c>
      <c r="G15" s="52">
        <f t="shared" si="0"/>
        <v>-44</v>
      </c>
      <c r="H15" s="15">
        <f>'Cash Flows YTD'!H15</f>
        <v>-6</v>
      </c>
      <c r="I15" s="15">
        <f>'Cash Flows YTD'!I15-'Cash Flows YTD'!H15</f>
        <v>64</v>
      </c>
      <c r="J15" s="15">
        <f>'Cash Flows YTD'!J15-'Cash Flows YTD'!I15</f>
        <v>6</v>
      </c>
      <c r="K15" s="15">
        <f>'Cash Flows YTD'!K15-'Cash Flows YTD'!J15</f>
        <v>-45</v>
      </c>
      <c r="L15" s="52">
        <f t="shared" si="1"/>
        <v>19</v>
      </c>
      <c r="M15" s="15">
        <f>'Cash Flows YTD'!M15</f>
        <v>-10</v>
      </c>
      <c r="N15" s="15">
        <f>'Cash Flows YTD'!N15-'Cash Flows YTD'!M15</f>
        <v>2</v>
      </c>
      <c r="O15" s="15">
        <f>'Cash Flows YTD'!O15-'Cash Flows YTD'!N15</f>
        <v>-32</v>
      </c>
      <c r="P15" s="15">
        <f>'Cash Flows YTD'!P15-'Cash Flows YTD'!O15</f>
        <v>-33</v>
      </c>
      <c r="Q15" s="52">
        <f t="shared" si="2"/>
        <v>-73</v>
      </c>
      <c r="R15" s="15">
        <f>'Cash Flows YTD'!R15</f>
        <v>-66</v>
      </c>
      <c r="S15" s="15">
        <f>'Cash Flows YTD'!S15-'Cash Flows YTD'!R15</f>
        <v>-61</v>
      </c>
      <c r="T15" s="15">
        <f>'Cash Flows YTD'!T15-'Cash Flows YTD'!S15</f>
        <v>-2</v>
      </c>
      <c r="U15" s="15"/>
      <c r="V15" s="52">
        <f t="shared" si="4"/>
        <v>-129</v>
      </c>
      <c r="W15" s="99"/>
    </row>
    <row r="16" spans="1:23" s="16" customFormat="1" ht="10.9" customHeight="1" x14ac:dyDescent="0.2">
      <c r="A16" s="31" t="s">
        <v>49</v>
      </c>
      <c r="B16" s="52">
        <f>'Cash Flows YTD'!B16</f>
        <v>-27</v>
      </c>
      <c r="C16" s="15">
        <f>'Cash Flows YTD'!C16</f>
        <v>-16</v>
      </c>
      <c r="D16" s="15">
        <f>'Cash Flows YTD'!D16-'Cash Flows YTD'!C16</f>
        <v>8</v>
      </c>
      <c r="E16" s="15">
        <f>'Cash Flows YTD'!E16-'Cash Flows YTD'!D16</f>
        <v>-5</v>
      </c>
      <c r="F16" s="15">
        <f>'Cash Flows YTD'!F16-'Cash Flows YTD'!E16</f>
        <v>-40</v>
      </c>
      <c r="G16" s="52">
        <f t="shared" si="0"/>
        <v>-53</v>
      </c>
      <c r="H16" s="15">
        <f>'Cash Flows YTD'!H16</f>
        <v>10</v>
      </c>
      <c r="I16" s="15">
        <f>'Cash Flows YTD'!I16-'Cash Flows YTD'!H16</f>
        <v>3</v>
      </c>
      <c r="J16" s="15">
        <f>'Cash Flows YTD'!J16-'Cash Flows YTD'!I16</f>
        <v>2</v>
      </c>
      <c r="K16" s="15">
        <f>'Cash Flows YTD'!K16-'Cash Flows YTD'!J16</f>
        <v>-10</v>
      </c>
      <c r="L16" s="52">
        <f t="shared" si="1"/>
        <v>5</v>
      </c>
      <c r="M16" s="15">
        <f>'Cash Flows YTD'!M16</f>
        <v>16</v>
      </c>
      <c r="N16" s="15">
        <f>'Cash Flows YTD'!N16-'Cash Flows YTD'!M16</f>
        <v>-40</v>
      </c>
      <c r="O16" s="15">
        <f>'Cash Flows YTD'!O16-'Cash Flows YTD'!N16</f>
        <v>18</v>
      </c>
      <c r="P16" s="15">
        <f>'Cash Flows YTD'!P16-'Cash Flows YTD'!O16</f>
        <v>33</v>
      </c>
      <c r="Q16" s="52">
        <f t="shared" si="2"/>
        <v>27</v>
      </c>
      <c r="R16" s="15">
        <f>'Cash Flows YTD'!R16</f>
        <v>-12</v>
      </c>
      <c r="S16" s="15">
        <f>'Cash Flows YTD'!S16-'Cash Flows YTD'!R16</f>
        <v>-9</v>
      </c>
      <c r="T16" s="15">
        <f>'Cash Flows YTD'!T16-'Cash Flows YTD'!S16</f>
        <v>-17</v>
      </c>
      <c r="U16" s="15"/>
      <c r="V16" s="52">
        <f t="shared" si="4"/>
        <v>-38</v>
      </c>
      <c r="W16" s="99"/>
    </row>
    <row r="17" spans="1:23" s="16" customFormat="1" ht="10.9" customHeight="1" x14ac:dyDescent="0.2">
      <c r="A17" s="31" t="s">
        <v>8</v>
      </c>
      <c r="B17" s="52">
        <f>'Cash Flows YTD'!B17</f>
        <v>231</v>
      </c>
      <c r="C17" s="15">
        <f>'Cash Flows YTD'!C17</f>
        <v>70</v>
      </c>
      <c r="D17" s="15">
        <f>'Cash Flows YTD'!D17-'Cash Flows YTD'!C17</f>
        <v>-45</v>
      </c>
      <c r="E17" s="15">
        <f>'Cash Flows YTD'!E17-'Cash Flows YTD'!D17</f>
        <v>-48</v>
      </c>
      <c r="F17" s="15">
        <f>'Cash Flows YTD'!F17-'Cash Flows YTD'!E17</f>
        <v>-15</v>
      </c>
      <c r="G17" s="52">
        <f t="shared" si="0"/>
        <v>-38</v>
      </c>
      <c r="H17" s="15">
        <f>'Cash Flows YTD'!H17</f>
        <v>-1</v>
      </c>
      <c r="I17" s="15">
        <f>'Cash Flows YTD'!I17-'Cash Flows YTD'!H17</f>
        <v>-108</v>
      </c>
      <c r="J17" s="15">
        <f>'Cash Flows YTD'!J17-'Cash Flows YTD'!I17</f>
        <v>47</v>
      </c>
      <c r="K17" s="15">
        <f>'Cash Flows YTD'!K17-'Cash Flows YTD'!J17</f>
        <v>61</v>
      </c>
      <c r="L17" s="52">
        <f t="shared" si="1"/>
        <v>-1</v>
      </c>
      <c r="M17" s="15">
        <f>'Cash Flows YTD'!M17</f>
        <v>-15</v>
      </c>
      <c r="N17" s="15">
        <f>'Cash Flows YTD'!N17-'Cash Flows YTD'!M17</f>
        <v>0</v>
      </c>
      <c r="O17" s="15">
        <f>'Cash Flows YTD'!O17-'Cash Flows YTD'!N17</f>
        <v>-4</v>
      </c>
      <c r="P17" s="15">
        <f>'Cash Flows YTD'!P17-'Cash Flows YTD'!O17</f>
        <v>-23</v>
      </c>
      <c r="Q17" s="52">
        <f t="shared" si="2"/>
        <v>-42</v>
      </c>
      <c r="R17" s="15">
        <f>'Cash Flows YTD'!R17</f>
        <v>17</v>
      </c>
      <c r="S17" s="15">
        <f>'Cash Flows YTD'!S17-'Cash Flows YTD'!R17</f>
        <v>37</v>
      </c>
      <c r="T17" s="15">
        <f>'Cash Flows YTD'!T17-'Cash Flows YTD'!S17</f>
        <v>-49</v>
      </c>
      <c r="U17" s="15"/>
      <c r="V17" s="52">
        <f t="shared" si="4"/>
        <v>5</v>
      </c>
      <c r="W17" s="99"/>
    </row>
    <row r="18" spans="1:23" s="16" customFormat="1" ht="10.9" customHeight="1" x14ac:dyDescent="0.2">
      <c r="A18" s="31" t="s">
        <v>50</v>
      </c>
      <c r="B18" s="52">
        <f>'Cash Flows YTD'!B18</f>
        <v>61</v>
      </c>
      <c r="C18" s="15">
        <f>'Cash Flows YTD'!C18</f>
        <v>-6</v>
      </c>
      <c r="D18" s="15">
        <f>'Cash Flows YTD'!D18-'Cash Flows YTD'!C18</f>
        <v>-11</v>
      </c>
      <c r="E18" s="15">
        <f>'Cash Flows YTD'!E18-'Cash Flows YTD'!D18</f>
        <v>11</v>
      </c>
      <c r="F18" s="15">
        <f>'Cash Flows YTD'!F18-'Cash Flows YTD'!E18</f>
        <v>28</v>
      </c>
      <c r="G18" s="52">
        <f t="shared" si="0"/>
        <v>22</v>
      </c>
      <c r="H18" s="15">
        <f>'Cash Flows YTD'!H18</f>
        <v>-80</v>
      </c>
      <c r="I18" s="15">
        <f>'Cash Flows YTD'!I18-'Cash Flows YTD'!H18</f>
        <v>88</v>
      </c>
      <c r="J18" s="15">
        <f>'Cash Flows YTD'!J18-'Cash Flows YTD'!I18</f>
        <v>40</v>
      </c>
      <c r="K18" s="15">
        <f>'Cash Flows YTD'!K18-'Cash Flows YTD'!J18</f>
        <v>-22</v>
      </c>
      <c r="L18" s="52">
        <f t="shared" si="1"/>
        <v>26</v>
      </c>
      <c r="M18" s="15">
        <f>'Cash Flows YTD'!M18</f>
        <v>-60</v>
      </c>
      <c r="N18" s="15">
        <f>'Cash Flows YTD'!N18-'Cash Flows YTD'!M18</f>
        <v>59</v>
      </c>
      <c r="O18" s="15">
        <f>'Cash Flows YTD'!O18-'Cash Flows YTD'!N18</f>
        <v>41</v>
      </c>
      <c r="P18" s="15">
        <f>'Cash Flows YTD'!P18-'Cash Flows YTD'!O18</f>
        <v>-11</v>
      </c>
      <c r="Q18" s="52">
        <f t="shared" si="2"/>
        <v>29</v>
      </c>
      <c r="R18" s="15">
        <f>'Cash Flows YTD'!R18</f>
        <v>-66</v>
      </c>
      <c r="S18" s="15">
        <f>'Cash Flows YTD'!S18-'Cash Flows YTD'!R18</f>
        <v>19</v>
      </c>
      <c r="T18" s="15">
        <f>'Cash Flows YTD'!T18-'Cash Flows YTD'!S18</f>
        <v>22</v>
      </c>
      <c r="U18" s="15"/>
      <c r="V18" s="52">
        <f t="shared" si="4"/>
        <v>-25</v>
      </c>
      <c r="W18" s="99"/>
    </row>
    <row r="19" spans="1:23" s="16" customFormat="1" ht="10.9" customHeight="1" x14ac:dyDescent="0.2">
      <c r="A19" s="31" t="s">
        <v>51</v>
      </c>
      <c r="B19" s="52">
        <f>'Cash Flows YTD'!B19</f>
        <v>24</v>
      </c>
      <c r="C19" s="15">
        <f>'Cash Flows YTD'!C19</f>
        <v>-49</v>
      </c>
      <c r="D19" s="15">
        <f>'Cash Flows YTD'!D19-'Cash Flows YTD'!C19</f>
        <v>1</v>
      </c>
      <c r="E19" s="15">
        <f>'Cash Flows YTD'!E19-'Cash Flows YTD'!D19</f>
        <v>-1</v>
      </c>
      <c r="F19" s="15">
        <f>'Cash Flows YTD'!F19-'Cash Flows YTD'!E19</f>
        <v>14</v>
      </c>
      <c r="G19" s="52">
        <f t="shared" si="0"/>
        <v>-35</v>
      </c>
      <c r="H19" s="15">
        <f>'Cash Flows YTD'!H19</f>
        <v>-2</v>
      </c>
      <c r="I19" s="15">
        <f>'Cash Flows YTD'!I19-'Cash Flows YTD'!H19</f>
        <v>-7</v>
      </c>
      <c r="J19" s="15">
        <f>'Cash Flows YTD'!J19-'Cash Flows YTD'!I19</f>
        <v>1</v>
      </c>
      <c r="K19" s="15">
        <f>'Cash Flows YTD'!K19-'Cash Flows YTD'!J19</f>
        <v>4</v>
      </c>
      <c r="L19" s="52">
        <f t="shared" si="1"/>
        <v>-4</v>
      </c>
      <c r="M19" s="15">
        <f>'Cash Flows YTD'!M19</f>
        <v>-7</v>
      </c>
      <c r="N19" s="15">
        <f>'Cash Flows YTD'!N19-'Cash Flows YTD'!M19</f>
        <v>1</v>
      </c>
      <c r="O19" s="15">
        <f>'Cash Flows YTD'!O19-'Cash Flows YTD'!N19</f>
        <v>3</v>
      </c>
      <c r="P19" s="15">
        <f>'Cash Flows YTD'!P19-'Cash Flows YTD'!O19</f>
        <v>-2</v>
      </c>
      <c r="Q19" s="52">
        <f t="shared" si="2"/>
        <v>-5</v>
      </c>
      <c r="R19" s="15">
        <f>'Cash Flows YTD'!R19</f>
        <v>7</v>
      </c>
      <c r="S19" s="15">
        <f>'Cash Flows YTD'!S19-'Cash Flows YTD'!R19</f>
        <v>9</v>
      </c>
      <c r="T19" s="15">
        <f>'Cash Flows YTD'!T19-'Cash Flows YTD'!S19</f>
        <v>-26</v>
      </c>
      <c r="U19" s="15"/>
      <c r="V19" s="52">
        <f t="shared" si="4"/>
        <v>-10</v>
      </c>
      <c r="W19" s="99"/>
    </row>
    <row r="20" spans="1:23" s="16" customFormat="1" ht="10.9" customHeight="1" x14ac:dyDescent="0.2">
      <c r="A20" s="31" t="s">
        <v>120</v>
      </c>
      <c r="B20" s="52">
        <f>'Cash Flows YTD'!B20</f>
        <v>217</v>
      </c>
      <c r="C20" s="15">
        <f>'Cash Flows YTD'!C20</f>
        <v>6</v>
      </c>
      <c r="D20" s="15">
        <f>'Cash Flows YTD'!D20-'Cash Flows YTD'!C20</f>
        <v>0</v>
      </c>
      <c r="E20" s="15">
        <f>'Cash Flows YTD'!E20-'Cash Flows YTD'!D20</f>
        <v>7</v>
      </c>
      <c r="F20" s="15">
        <f>'Cash Flows YTD'!F20-'Cash Flows YTD'!E20</f>
        <v>11</v>
      </c>
      <c r="G20" s="52">
        <f t="shared" si="0"/>
        <v>24</v>
      </c>
      <c r="H20" s="15">
        <f>'Cash Flows YTD'!H20</f>
        <v>-2</v>
      </c>
      <c r="I20" s="15">
        <f>'Cash Flows YTD'!I20-'Cash Flows YTD'!H20</f>
        <v>13</v>
      </c>
      <c r="J20" s="15">
        <f>'Cash Flows YTD'!J20-'Cash Flows YTD'!I20</f>
        <v>1</v>
      </c>
      <c r="K20" s="15">
        <f>'Cash Flows YTD'!K20-'Cash Flows YTD'!J20</f>
        <v>14</v>
      </c>
      <c r="L20" s="52">
        <f t="shared" si="1"/>
        <v>26</v>
      </c>
      <c r="M20" s="15">
        <f>'Cash Flows YTD'!M20</f>
        <v>-2</v>
      </c>
      <c r="N20" s="15">
        <f>'Cash Flows YTD'!N20-'Cash Flows YTD'!M20</f>
        <v>8</v>
      </c>
      <c r="O20" s="15">
        <f>'Cash Flows YTD'!O20-'Cash Flows YTD'!N20</f>
        <v>1</v>
      </c>
      <c r="P20" s="15">
        <f>'Cash Flows YTD'!P20-'Cash Flows YTD'!O20</f>
        <v>-2</v>
      </c>
      <c r="Q20" s="52">
        <f t="shared" si="2"/>
        <v>5</v>
      </c>
      <c r="R20" s="15">
        <f>'Cash Flows YTD'!R20</f>
        <v>2</v>
      </c>
      <c r="S20" s="15">
        <f>'Cash Flows YTD'!S20-'Cash Flows YTD'!R20</f>
        <v>1</v>
      </c>
      <c r="T20" s="15">
        <f>'Cash Flows YTD'!T20-'Cash Flows YTD'!S20</f>
        <v>-8</v>
      </c>
      <c r="U20" s="15"/>
      <c r="V20" s="52">
        <f t="shared" si="4"/>
        <v>-5</v>
      </c>
      <c r="W20" s="99"/>
    </row>
    <row r="21" spans="1:23" s="6" customFormat="1" ht="10.9" customHeight="1" x14ac:dyDescent="0.25">
      <c r="A21" s="9" t="s">
        <v>140</v>
      </c>
      <c r="B21" s="51">
        <f>'Cash Flows YTD'!B21</f>
        <v>462</v>
      </c>
      <c r="C21" s="18">
        <f t="shared" ref="C21:T21" si="5">SUM(C6:C20)</f>
        <v>-10</v>
      </c>
      <c r="D21" s="18">
        <f t="shared" si="5"/>
        <v>-27</v>
      </c>
      <c r="E21" s="18">
        <f t="shared" si="5"/>
        <v>-33</v>
      </c>
      <c r="F21" s="18">
        <f t="shared" si="5"/>
        <v>93</v>
      </c>
      <c r="G21" s="51">
        <f t="shared" si="5"/>
        <v>23</v>
      </c>
      <c r="H21" s="18">
        <f t="shared" si="5"/>
        <v>-74</v>
      </c>
      <c r="I21" s="18">
        <f t="shared" si="5"/>
        <v>145</v>
      </c>
      <c r="J21" s="18">
        <f t="shared" si="5"/>
        <v>21</v>
      </c>
      <c r="K21" s="18">
        <f t="shared" si="5"/>
        <v>152</v>
      </c>
      <c r="L21" s="51">
        <f t="shared" si="5"/>
        <v>244</v>
      </c>
      <c r="M21" s="18">
        <f t="shared" si="5"/>
        <v>5</v>
      </c>
      <c r="N21" s="18">
        <f t="shared" si="5"/>
        <v>94</v>
      </c>
      <c r="O21" s="18">
        <f t="shared" si="5"/>
        <v>104</v>
      </c>
      <c r="P21" s="18">
        <f t="shared" si="5"/>
        <v>112</v>
      </c>
      <c r="Q21" s="51">
        <f t="shared" si="5"/>
        <v>315</v>
      </c>
      <c r="R21" s="18">
        <f t="shared" si="5"/>
        <v>-59</v>
      </c>
      <c r="S21" s="18">
        <f t="shared" si="5"/>
        <v>35</v>
      </c>
      <c r="T21" s="18">
        <f t="shared" si="5"/>
        <v>37</v>
      </c>
      <c r="U21" s="18"/>
      <c r="V21" s="51">
        <f>SUM(V6:V20)</f>
        <v>13</v>
      </c>
      <c r="W21" s="99"/>
    </row>
    <row r="22" spans="1:23" s="6" customFormat="1" ht="10.9" customHeight="1" x14ac:dyDescent="0.25">
      <c r="A22" s="26"/>
      <c r="B22" s="52"/>
      <c r="C22" s="15"/>
      <c r="D22" s="15"/>
      <c r="E22" s="15"/>
      <c r="F22" s="15"/>
      <c r="G22" s="52"/>
      <c r="H22" s="15"/>
      <c r="I22" s="15"/>
      <c r="J22" s="15"/>
      <c r="K22" s="15"/>
      <c r="L22" s="52"/>
      <c r="M22" s="15"/>
      <c r="N22" s="15"/>
      <c r="O22" s="15"/>
      <c r="P22" s="15"/>
      <c r="Q22" s="52"/>
      <c r="R22" s="15"/>
      <c r="S22" s="15"/>
      <c r="T22" s="15"/>
      <c r="U22" s="15"/>
      <c r="V22" s="52"/>
      <c r="W22" s="99"/>
    </row>
    <row r="23" spans="1:23" s="6" customFormat="1" ht="10.9" customHeight="1" x14ac:dyDescent="0.25">
      <c r="A23" s="38" t="s">
        <v>38</v>
      </c>
      <c r="B23" s="57"/>
      <c r="C23" s="7"/>
      <c r="D23" s="8"/>
      <c r="E23" s="8"/>
      <c r="F23" s="8"/>
      <c r="G23" s="57"/>
      <c r="H23" s="7"/>
      <c r="I23" s="8"/>
      <c r="J23" s="8"/>
      <c r="K23" s="8"/>
      <c r="L23" s="57"/>
      <c r="M23" s="7"/>
      <c r="N23" s="8"/>
      <c r="O23" s="8"/>
      <c r="P23" s="8"/>
      <c r="Q23" s="57"/>
      <c r="R23" s="7"/>
      <c r="S23" s="8"/>
      <c r="T23" s="8"/>
      <c r="U23" s="8"/>
      <c r="V23" s="57"/>
      <c r="W23" s="99"/>
    </row>
    <row r="24" spans="1:23" s="16" customFormat="1" ht="10.9" customHeight="1" x14ac:dyDescent="0.2">
      <c r="A24" s="29" t="s">
        <v>129</v>
      </c>
      <c r="B24" s="52">
        <f>'Cash Flows YTD'!B24</f>
        <v>-81</v>
      </c>
      <c r="C24" s="15">
        <f>'Cash Flows YTD'!C24</f>
        <v>-15</v>
      </c>
      <c r="D24" s="15">
        <f>'Cash Flows YTD'!D24-'Cash Flows YTD'!C24</f>
        <v>-23</v>
      </c>
      <c r="E24" s="15">
        <f>'Cash Flows YTD'!E24-'Cash Flows YTD'!D24</f>
        <v>-28</v>
      </c>
      <c r="F24" s="15">
        <f>'Cash Flows YTD'!F24-'Cash Flows YTD'!E24</f>
        <v>-29</v>
      </c>
      <c r="G24" s="52">
        <f t="shared" ref="G24:G26" si="6">SUM(C24:F24)</f>
        <v>-95</v>
      </c>
      <c r="H24" s="15">
        <f>'Cash Flows YTD'!H24</f>
        <v>-16</v>
      </c>
      <c r="I24" s="15">
        <f>'Cash Flows YTD'!I24-'Cash Flows YTD'!H24</f>
        <v>-15</v>
      </c>
      <c r="J24" s="15">
        <f>'Cash Flows YTD'!J24-'Cash Flows YTD'!I24</f>
        <v>-19</v>
      </c>
      <c r="K24" s="15">
        <f>'Cash Flows YTD'!K24-'Cash Flows YTD'!J24</f>
        <v>-20</v>
      </c>
      <c r="L24" s="52">
        <f t="shared" ref="L24:L26" si="7">SUM(H24:K24)</f>
        <v>-70</v>
      </c>
      <c r="M24" s="15">
        <f>'Cash Flows YTD'!M24</f>
        <v>-19</v>
      </c>
      <c r="N24" s="15">
        <f>'Cash Flows YTD'!N24-'Cash Flows YTD'!M24</f>
        <v>-16</v>
      </c>
      <c r="O24" s="15">
        <f>'Cash Flows YTD'!O24-'Cash Flows YTD'!N24</f>
        <v>-13</v>
      </c>
      <c r="P24" s="15">
        <f>'Cash Flows YTD'!P24-'Cash Flows YTD'!O24</f>
        <v>-15</v>
      </c>
      <c r="Q24" s="52">
        <f t="shared" ref="Q24:Q26" si="8">SUM(M24:P24)</f>
        <v>-63</v>
      </c>
      <c r="R24" s="15">
        <f>'Cash Flows YTD'!R24</f>
        <v>-19</v>
      </c>
      <c r="S24" s="15">
        <f>'Cash Flows YTD'!S24-'Cash Flows YTD'!R24</f>
        <v>-5</v>
      </c>
      <c r="T24" s="15">
        <f>'Cash Flows YTD'!T24-'Cash Flows YTD'!S24</f>
        <v>-10</v>
      </c>
      <c r="U24" s="15"/>
      <c r="V24" s="52">
        <f t="shared" ref="V24:V26" si="9">SUM(R24:U24)</f>
        <v>-34</v>
      </c>
      <c r="W24" s="99"/>
    </row>
    <row r="25" spans="1:23" s="16" customFormat="1" ht="10.9" customHeight="1" x14ac:dyDescent="0.2">
      <c r="A25" s="29" t="s">
        <v>130</v>
      </c>
      <c r="B25" s="52">
        <f>'Cash Flows YTD'!B25</f>
        <v>0</v>
      </c>
      <c r="C25" s="15">
        <f>'Cash Flows YTD'!C25</f>
        <v>-6</v>
      </c>
      <c r="D25" s="15">
        <f>'Cash Flows YTD'!D25-'Cash Flows YTD'!C25</f>
        <v>-11</v>
      </c>
      <c r="E25" s="15">
        <f>'Cash Flows YTD'!E25-'Cash Flows YTD'!D25</f>
        <v>0</v>
      </c>
      <c r="F25" s="15">
        <f>'Cash Flows YTD'!F25-'Cash Flows YTD'!E25</f>
        <v>0</v>
      </c>
      <c r="G25" s="52">
        <f t="shared" si="6"/>
        <v>-17</v>
      </c>
      <c r="H25" s="15">
        <f>'Cash Flows YTD'!H25</f>
        <v>-35</v>
      </c>
      <c r="I25" s="15">
        <f>'Cash Flows YTD'!I25-'Cash Flows YTD'!H25</f>
        <v>0</v>
      </c>
      <c r="J25" s="15">
        <f>'Cash Flows YTD'!J25-'Cash Flows YTD'!I25</f>
        <v>0</v>
      </c>
      <c r="K25" s="15">
        <f>'Cash Flows YTD'!K25-'Cash Flows YTD'!J25</f>
        <v>0</v>
      </c>
      <c r="L25" s="52">
        <f t="shared" si="7"/>
        <v>-35</v>
      </c>
      <c r="M25" s="15">
        <f>'Cash Flows YTD'!M25</f>
        <v>-5</v>
      </c>
      <c r="N25" s="15">
        <f>'Cash Flows YTD'!N25-'Cash Flows YTD'!M25</f>
        <v>-5</v>
      </c>
      <c r="O25" s="15">
        <f>'Cash Flows YTD'!O25-'Cash Flows YTD'!N25</f>
        <v>-1</v>
      </c>
      <c r="P25" s="15">
        <f>'Cash Flows YTD'!P25-'Cash Flows YTD'!O25</f>
        <v>0</v>
      </c>
      <c r="Q25" s="52">
        <f t="shared" si="8"/>
        <v>-11</v>
      </c>
      <c r="R25" s="15">
        <f>'Cash Flows YTD'!R25</f>
        <v>-633</v>
      </c>
      <c r="S25" s="15">
        <f>'Cash Flows YTD'!S25-'Cash Flows YTD'!R25</f>
        <v>0</v>
      </c>
      <c r="T25" s="15">
        <f>'Cash Flows YTD'!T25-'Cash Flows YTD'!S25</f>
        <v>-27</v>
      </c>
      <c r="U25" s="15"/>
      <c r="V25" s="52">
        <f t="shared" si="9"/>
        <v>-660</v>
      </c>
      <c r="W25" s="99"/>
    </row>
    <row r="26" spans="1:23" s="16" customFormat="1" ht="10.9" customHeight="1" x14ac:dyDescent="0.2">
      <c r="A26" s="29" t="s">
        <v>120</v>
      </c>
      <c r="B26" s="52">
        <f>'Cash Flows YTD'!B26</f>
        <v>7</v>
      </c>
      <c r="C26" s="15">
        <f>'Cash Flows YTD'!C26</f>
        <v>0</v>
      </c>
      <c r="D26" s="15">
        <f>'Cash Flows YTD'!D26-'Cash Flows YTD'!C26</f>
        <v>0</v>
      </c>
      <c r="E26" s="15">
        <f>'Cash Flows YTD'!E26-'Cash Flows YTD'!D26</f>
        <v>0</v>
      </c>
      <c r="F26" s="15">
        <f>'Cash Flows YTD'!F26-'Cash Flows YTD'!E26</f>
        <v>0</v>
      </c>
      <c r="G26" s="52">
        <f t="shared" si="6"/>
        <v>0</v>
      </c>
      <c r="H26" s="15">
        <f>'Cash Flows YTD'!H26</f>
        <v>0</v>
      </c>
      <c r="I26" s="15">
        <f>'Cash Flows YTD'!I26-'Cash Flows YTD'!H26</f>
        <v>0</v>
      </c>
      <c r="J26" s="15">
        <f>'Cash Flows YTD'!J26-'Cash Flows YTD'!I26</f>
        <v>0</v>
      </c>
      <c r="K26" s="15">
        <f>'Cash Flows YTD'!K26-'Cash Flows YTD'!J26</f>
        <v>2</v>
      </c>
      <c r="L26" s="52">
        <f t="shared" si="7"/>
        <v>2</v>
      </c>
      <c r="M26" s="15">
        <f>'Cash Flows YTD'!M26</f>
        <v>0</v>
      </c>
      <c r="N26" s="15">
        <f>'Cash Flows YTD'!N26-'Cash Flows YTD'!M26</f>
        <v>3</v>
      </c>
      <c r="O26" s="15">
        <f>'Cash Flows YTD'!O26-'Cash Flows YTD'!N26</f>
        <v>0</v>
      </c>
      <c r="P26" s="15">
        <f>'Cash Flows YTD'!P26-'Cash Flows YTD'!O26</f>
        <v>6</v>
      </c>
      <c r="Q26" s="52">
        <f t="shared" si="8"/>
        <v>9</v>
      </c>
      <c r="R26" s="15">
        <f>'Cash Flows YTD'!R26</f>
        <v>-13</v>
      </c>
      <c r="S26" s="15">
        <f>'Cash Flows YTD'!S26-'Cash Flows YTD'!R26</f>
        <v>0</v>
      </c>
      <c r="T26" s="15">
        <f>'Cash Flows YTD'!T26-'Cash Flows YTD'!S26</f>
        <v>0</v>
      </c>
      <c r="U26" s="15"/>
      <c r="V26" s="52">
        <f t="shared" si="9"/>
        <v>-13</v>
      </c>
      <c r="W26" s="99"/>
    </row>
    <row r="27" spans="1:23" s="6" customFormat="1" ht="10.9" customHeight="1" x14ac:dyDescent="0.25">
      <c r="A27" s="9" t="s">
        <v>136</v>
      </c>
      <c r="B27" s="51">
        <f>'Cash Flows YTD'!B27</f>
        <v>-74</v>
      </c>
      <c r="C27" s="18">
        <f>SUM(C24:C26)</f>
        <v>-21</v>
      </c>
      <c r="D27" s="18">
        <f t="shared" ref="D27:N27" si="10">SUM(D24:D26)</f>
        <v>-34</v>
      </c>
      <c r="E27" s="18">
        <f t="shared" si="10"/>
        <v>-28</v>
      </c>
      <c r="F27" s="18">
        <f t="shared" si="10"/>
        <v>-29</v>
      </c>
      <c r="G27" s="51">
        <f t="shared" si="10"/>
        <v>-112</v>
      </c>
      <c r="H27" s="18">
        <f t="shared" si="10"/>
        <v>-51</v>
      </c>
      <c r="I27" s="18">
        <f t="shared" si="10"/>
        <v>-15</v>
      </c>
      <c r="J27" s="18">
        <f t="shared" si="10"/>
        <v>-19</v>
      </c>
      <c r="K27" s="18">
        <f t="shared" si="10"/>
        <v>-18</v>
      </c>
      <c r="L27" s="51">
        <f t="shared" si="10"/>
        <v>-103</v>
      </c>
      <c r="M27" s="18">
        <f t="shared" si="10"/>
        <v>-24</v>
      </c>
      <c r="N27" s="18">
        <f t="shared" si="10"/>
        <v>-18</v>
      </c>
      <c r="O27" s="18">
        <f>SUM(O24:O26)</f>
        <v>-14</v>
      </c>
      <c r="P27" s="18">
        <f>SUM(P24:P26)</f>
        <v>-9</v>
      </c>
      <c r="Q27" s="51">
        <f t="shared" ref="Q27:T27" si="11">SUM(Q24:Q26)</f>
        <v>-65</v>
      </c>
      <c r="R27" s="18">
        <f t="shared" si="11"/>
        <v>-665</v>
      </c>
      <c r="S27" s="18">
        <f t="shared" si="11"/>
        <v>-5</v>
      </c>
      <c r="T27" s="18">
        <f t="shared" si="11"/>
        <v>-37</v>
      </c>
      <c r="U27" s="18"/>
      <c r="V27" s="51">
        <f t="shared" ref="V27" si="12">SUM(V24:V26)</f>
        <v>-707</v>
      </c>
      <c r="W27" s="99"/>
    </row>
    <row r="28" spans="1:23" s="6" customFormat="1" ht="10.9" customHeight="1" x14ac:dyDescent="0.25">
      <c r="A28" s="26"/>
      <c r="B28" s="52"/>
      <c r="C28" s="15"/>
      <c r="D28" s="15"/>
      <c r="E28" s="15"/>
      <c r="F28" s="15"/>
      <c r="G28" s="52"/>
      <c r="H28" s="15"/>
      <c r="I28" s="15"/>
      <c r="J28" s="15"/>
      <c r="K28" s="15"/>
      <c r="L28" s="52"/>
      <c r="M28" s="15"/>
      <c r="N28" s="15"/>
      <c r="O28" s="15"/>
      <c r="P28" s="15"/>
      <c r="Q28" s="52"/>
      <c r="R28" s="15"/>
      <c r="S28" s="15"/>
      <c r="T28" s="15"/>
      <c r="U28" s="15"/>
      <c r="V28" s="52"/>
      <c r="W28" s="99"/>
    </row>
    <row r="29" spans="1:23" s="6" customFormat="1" ht="10.9" customHeight="1" x14ac:dyDescent="0.25">
      <c r="A29" s="38" t="s">
        <v>39</v>
      </c>
      <c r="B29" s="57"/>
      <c r="C29" s="7"/>
      <c r="D29" s="8"/>
      <c r="E29" s="8"/>
      <c r="F29" s="8"/>
      <c r="G29" s="57"/>
      <c r="H29" s="7"/>
      <c r="I29" s="8"/>
      <c r="J29" s="8"/>
      <c r="K29" s="8"/>
      <c r="L29" s="57"/>
      <c r="M29" s="7"/>
      <c r="N29" s="8"/>
      <c r="O29" s="8"/>
      <c r="P29" s="8"/>
      <c r="Q29" s="57"/>
      <c r="R29" s="7"/>
      <c r="S29" s="8"/>
      <c r="T29" s="8"/>
      <c r="U29" s="8"/>
      <c r="V29" s="57"/>
      <c r="W29" s="99"/>
    </row>
    <row r="30" spans="1:23" s="16" customFormat="1" ht="10.9" customHeight="1" x14ac:dyDescent="0.2">
      <c r="A30" s="29" t="s">
        <v>56</v>
      </c>
      <c r="B30" s="52">
        <f>'Cash Flows YTD'!B30</f>
        <v>0</v>
      </c>
      <c r="C30" s="15">
        <f>'Cash Flows YTD'!C30</f>
        <v>0</v>
      </c>
      <c r="D30" s="15">
        <f>'Cash Flows YTD'!D30-'Cash Flows YTD'!C30</f>
        <v>0</v>
      </c>
      <c r="E30" s="15">
        <f>'Cash Flows YTD'!E30-'Cash Flows YTD'!D30</f>
        <v>0</v>
      </c>
      <c r="F30" s="15">
        <f>'Cash Flows YTD'!F30-'Cash Flows YTD'!E30</f>
        <v>0</v>
      </c>
      <c r="G30" s="52">
        <f t="shared" ref="G30:G37" si="13">SUM(C30:F30)</f>
        <v>0</v>
      </c>
      <c r="H30" s="15">
        <f>'Cash Flows YTD'!H30</f>
        <v>0</v>
      </c>
      <c r="I30" s="15">
        <f>'Cash Flows YTD'!I30-'Cash Flows YTD'!H30</f>
        <v>0</v>
      </c>
      <c r="J30" s="15">
        <f>'Cash Flows YTD'!J30-'Cash Flows YTD'!I30</f>
        <v>0</v>
      </c>
      <c r="K30" s="15">
        <f>'Cash Flows YTD'!K30-'Cash Flows YTD'!J30</f>
        <v>279</v>
      </c>
      <c r="L30" s="52">
        <f>SUM(H30:K30)</f>
        <v>279</v>
      </c>
      <c r="M30" s="15">
        <f>'Cash Flows YTD'!M30</f>
        <v>0</v>
      </c>
      <c r="N30" s="15">
        <f>'Cash Flows YTD'!N30-'Cash Flows YTD'!M30</f>
        <v>0</v>
      </c>
      <c r="O30" s="15">
        <f>'Cash Flows YTD'!O29-'Cash Flows YTD'!N29</f>
        <v>0</v>
      </c>
      <c r="P30" s="15">
        <f>'Cash Flows YTD'!P29-'Cash Flows YTD'!O29</f>
        <v>0</v>
      </c>
      <c r="Q30" s="52">
        <f>SUM(M30:P30)</f>
        <v>0</v>
      </c>
      <c r="R30" s="15">
        <f>'Cash Flows YTD'!R30</f>
        <v>0</v>
      </c>
      <c r="S30" s="15">
        <f>'Cash Flows YTD'!S30-'Cash Flows YTD'!R30</f>
        <v>0</v>
      </c>
      <c r="T30" s="15">
        <f>'Cash Flows YTD'!T30-'Cash Flows YTD'!S30</f>
        <v>0</v>
      </c>
      <c r="U30" s="15"/>
      <c r="V30" s="52">
        <f>SUM(R30:U30)</f>
        <v>0</v>
      </c>
      <c r="W30" s="99"/>
    </row>
    <row r="31" spans="1:23" s="16" customFormat="1" ht="10.9" customHeight="1" x14ac:dyDescent="0.2">
      <c r="A31" s="29" t="s">
        <v>52</v>
      </c>
      <c r="B31" s="52">
        <f>'Cash Flows YTD'!B31</f>
        <v>1225</v>
      </c>
      <c r="C31" s="15">
        <f>'Cash Flows YTD'!C31</f>
        <v>0</v>
      </c>
      <c r="D31" s="15">
        <f>'Cash Flows YTD'!D31-'Cash Flows YTD'!C31</f>
        <v>0</v>
      </c>
      <c r="E31" s="15">
        <f>'Cash Flows YTD'!E31-'Cash Flows YTD'!D31</f>
        <v>0</v>
      </c>
      <c r="F31" s="15">
        <f>'Cash Flows YTD'!F31-'Cash Flows YTD'!E31</f>
        <v>0</v>
      </c>
      <c r="G31" s="52">
        <f t="shared" si="13"/>
        <v>0</v>
      </c>
      <c r="H31" s="15">
        <f>'Cash Flows YTD'!H31</f>
        <v>0</v>
      </c>
      <c r="I31" s="15">
        <f>'Cash Flows YTD'!I31-'Cash Flows YTD'!H31</f>
        <v>0</v>
      </c>
      <c r="J31" s="15">
        <f>'Cash Flows YTD'!J31-'Cash Flows YTD'!I31</f>
        <v>0</v>
      </c>
      <c r="K31" s="15">
        <f>'Cash Flows YTD'!K31-'Cash Flows YTD'!J31</f>
        <v>0</v>
      </c>
      <c r="L31" s="52">
        <f t="shared" ref="L31:L37" si="14">SUM(H31:K31)</f>
        <v>0</v>
      </c>
      <c r="M31" s="15">
        <f>'Cash Flows YTD'!M31</f>
        <v>950</v>
      </c>
      <c r="N31" s="15">
        <f>'Cash Flows YTD'!N31-'Cash Flows YTD'!M31</f>
        <v>0</v>
      </c>
      <c r="O31" s="15">
        <f>'Cash Flows YTD'!O31-'Cash Flows YTD'!N31</f>
        <v>300</v>
      </c>
      <c r="P31" s="15">
        <f>'Cash Flows YTD'!P31-'Cash Flows YTD'!O31</f>
        <v>0</v>
      </c>
      <c r="Q31" s="52">
        <f t="shared" ref="Q31:Q37" si="15">SUM(M31:P31)</f>
        <v>1250</v>
      </c>
      <c r="R31" s="15">
        <f>'Cash Flows YTD'!R31</f>
        <v>200</v>
      </c>
      <c r="S31" s="15">
        <f>'Cash Flows YTD'!S31-'Cash Flows YTD'!R31</f>
        <v>0</v>
      </c>
      <c r="T31" s="15">
        <f>'Cash Flows YTD'!T31-'Cash Flows YTD'!S31</f>
        <v>0</v>
      </c>
      <c r="U31" s="15"/>
      <c r="V31" s="52">
        <f t="shared" ref="V31:V37" si="16">SUM(R31:U31)</f>
        <v>200</v>
      </c>
      <c r="W31" s="99"/>
    </row>
    <row r="32" spans="1:23" s="16" customFormat="1" ht="10.9" customHeight="1" x14ac:dyDescent="0.2">
      <c r="A32" s="29" t="s">
        <v>55</v>
      </c>
      <c r="B32" s="52">
        <f>'Cash Flows YTD'!B32</f>
        <v>0</v>
      </c>
      <c r="C32" s="15">
        <f>'Cash Flows YTD'!C32</f>
        <v>0</v>
      </c>
      <c r="D32" s="15">
        <f>'Cash Flows YTD'!D32-'Cash Flows YTD'!C32</f>
        <v>0</v>
      </c>
      <c r="E32" s="15">
        <f>'Cash Flows YTD'!E32-'Cash Flows YTD'!D32</f>
        <v>60</v>
      </c>
      <c r="F32" s="15">
        <f>'Cash Flows YTD'!F32-'Cash Flows YTD'!E32</f>
        <v>-60</v>
      </c>
      <c r="G32" s="52">
        <f t="shared" si="13"/>
        <v>0</v>
      </c>
      <c r="H32" s="15">
        <f>'Cash Flows YTD'!H32</f>
        <v>350</v>
      </c>
      <c r="I32" s="15">
        <f>'Cash Flows YTD'!I32-'Cash Flows YTD'!H32</f>
        <v>-100</v>
      </c>
      <c r="J32" s="15">
        <f>'Cash Flows YTD'!J32-'Cash Flows YTD'!I32</f>
        <v>-100</v>
      </c>
      <c r="K32" s="15">
        <f>'Cash Flows YTD'!K32-'Cash Flows YTD'!J32</f>
        <v>-150</v>
      </c>
      <c r="L32" s="52">
        <f t="shared" si="14"/>
        <v>0</v>
      </c>
      <c r="M32" s="15">
        <f>'Cash Flows YTD'!M32</f>
        <v>0</v>
      </c>
      <c r="N32" s="15">
        <f>'Cash Flows YTD'!N32-'Cash Flows YTD'!M32</f>
        <v>0</v>
      </c>
      <c r="O32" s="15">
        <v>0</v>
      </c>
      <c r="P32" s="15">
        <f>'Cash Flows YTD'!P32-'Cash Flows YTD'!O32</f>
        <v>0</v>
      </c>
      <c r="Q32" s="52">
        <f t="shared" si="15"/>
        <v>0</v>
      </c>
      <c r="R32" s="15">
        <f>'Cash Flows YTD'!R32</f>
        <v>0</v>
      </c>
      <c r="S32" s="15">
        <f>'Cash Flows YTD'!S32-'Cash Flows YTD'!R32</f>
        <v>0</v>
      </c>
      <c r="T32" s="15">
        <f>'Cash Flows YTD'!T32-'Cash Flows YTD'!S32</f>
        <v>0</v>
      </c>
      <c r="U32" s="15"/>
      <c r="V32" s="52">
        <f t="shared" si="16"/>
        <v>0</v>
      </c>
      <c r="W32" s="99"/>
    </row>
    <row r="33" spans="1:23" s="16" customFormat="1" ht="10.9" customHeight="1" x14ac:dyDescent="0.2">
      <c r="A33" s="29" t="s">
        <v>53</v>
      </c>
      <c r="B33" s="52">
        <f>'Cash Flows YTD'!B33</f>
        <v>-29</v>
      </c>
      <c r="C33" s="15">
        <f>'Cash Flows YTD'!C33</f>
        <v>0</v>
      </c>
      <c r="D33" s="15">
        <f>'Cash Flows YTD'!D33-'Cash Flows YTD'!C33</f>
        <v>0</v>
      </c>
      <c r="E33" s="15">
        <f>'Cash Flows YTD'!E33-'Cash Flows YTD'!D33</f>
        <v>0</v>
      </c>
      <c r="F33" s="15">
        <f>'Cash Flows YTD'!F33-'Cash Flows YTD'!E33</f>
        <v>-4</v>
      </c>
      <c r="G33" s="52">
        <f t="shared" si="13"/>
        <v>-4</v>
      </c>
      <c r="H33" s="15">
        <f>'Cash Flows YTD'!H33</f>
        <v>0</v>
      </c>
      <c r="I33" s="15">
        <f>'Cash Flows YTD'!I33-'Cash Flows YTD'!H33</f>
        <v>0</v>
      </c>
      <c r="J33" s="15">
        <f>'Cash Flows YTD'!J33-'Cash Flows YTD'!I33</f>
        <v>0</v>
      </c>
      <c r="K33" s="15">
        <f>'Cash Flows YTD'!K33-'Cash Flows YTD'!J33</f>
        <v>0</v>
      </c>
      <c r="L33" s="52">
        <f t="shared" si="14"/>
        <v>0</v>
      </c>
      <c r="M33" s="15">
        <f>'Cash Flows YTD'!M33</f>
        <v>-21</v>
      </c>
      <c r="N33" s="15">
        <f>'Cash Flows YTD'!N33-'Cash Flows YTD'!M33</f>
        <v>0</v>
      </c>
      <c r="O33" s="15">
        <f>'Cash Flows YTD'!O33-'Cash Flows YTD'!N33</f>
        <v>-18</v>
      </c>
      <c r="P33" s="15">
        <f>'Cash Flows YTD'!P33-'Cash Flows YTD'!O33</f>
        <v>0</v>
      </c>
      <c r="Q33" s="52">
        <f t="shared" si="15"/>
        <v>-39</v>
      </c>
      <c r="R33" s="15">
        <f>'Cash Flows YTD'!R33</f>
        <v>-4</v>
      </c>
      <c r="S33" s="15">
        <f>'Cash Flows YTD'!S33-'Cash Flows YTD'!R33</f>
        <v>0</v>
      </c>
      <c r="T33" s="15">
        <f>'Cash Flows YTD'!T33-'Cash Flows YTD'!S33</f>
        <v>0</v>
      </c>
      <c r="U33" s="15"/>
      <c r="V33" s="52">
        <f t="shared" si="16"/>
        <v>-4</v>
      </c>
      <c r="W33" s="99"/>
    </row>
    <row r="34" spans="1:23" s="16" customFormat="1" ht="10.9" customHeight="1" x14ac:dyDescent="0.2">
      <c r="A34" s="29" t="s">
        <v>131</v>
      </c>
      <c r="B34" s="52">
        <f>'Cash Flows YTD'!B34</f>
        <v>0</v>
      </c>
      <c r="C34" s="15">
        <f>'Cash Flows YTD'!C34</f>
        <v>-6</v>
      </c>
      <c r="D34" s="15">
        <f>'Cash Flows YTD'!D34-'Cash Flows YTD'!C34</f>
        <v>-5</v>
      </c>
      <c r="E34" s="15">
        <f>'Cash Flows YTD'!E34-'Cash Flows YTD'!D34</f>
        <v>0</v>
      </c>
      <c r="F34" s="15">
        <f>'Cash Flows YTD'!F34-'Cash Flows YTD'!E34</f>
        <v>-11</v>
      </c>
      <c r="G34" s="52">
        <f t="shared" si="13"/>
        <v>-22</v>
      </c>
      <c r="H34" s="15">
        <f>'Cash Flows YTD'!H34</f>
        <v>0</v>
      </c>
      <c r="I34" s="15">
        <f>'Cash Flows YTD'!I34-'Cash Flows YTD'!H34</f>
        <v>-6</v>
      </c>
      <c r="J34" s="15">
        <f>'Cash Flows YTD'!J34-'Cash Flows YTD'!I34</f>
        <v>-5</v>
      </c>
      <c r="K34" s="15">
        <f>'Cash Flows YTD'!K34-'Cash Flows YTD'!J34</f>
        <v>-11</v>
      </c>
      <c r="L34" s="52">
        <f t="shared" si="14"/>
        <v>-22</v>
      </c>
      <c r="M34" s="15">
        <f>'Cash Flows YTD'!M34</f>
        <v>-921</v>
      </c>
      <c r="N34" s="15">
        <f>'Cash Flows YTD'!N34-'Cash Flows YTD'!M34</f>
        <v>-2</v>
      </c>
      <c r="O34" s="15">
        <f>'Cash Flows YTD'!O34-'Cash Flows YTD'!N34</f>
        <v>-262</v>
      </c>
      <c r="P34" s="15">
        <f>'Cash Flows YTD'!P34-'Cash Flows YTD'!O34</f>
        <v>-3</v>
      </c>
      <c r="Q34" s="52">
        <f t="shared" si="15"/>
        <v>-1188</v>
      </c>
      <c r="R34" s="15">
        <f>'Cash Flows YTD'!R34</f>
        <v>-3</v>
      </c>
      <c r="S34" s="15">
        <f>'Cash Flows YTD'!S34-'Cash Flows YTD'!R34</f>
        <v>-3</v>
      </c>
      <c r="T34" s="15">
        <f>'Cash Flows YTD'!T34-'Cash Flows YTD'!S34</f>
        <v>-3</v>
      </c>
      <c r="U34" s="15"/>
      <c r="V34" s="52">
        <f t="shared" si="16"/>
        <v>-9</v>
      </c>
      <c r="W34" s="99"/>
    </row>
    <row r="35" spans="1:23" s="16" customFormat="1" ht="10.9" customHeight="1" x14ac:dyDescent="0.2">
      <c r="A35" s="29" t="s">
        <v>54</v>
      </c>
      <c r="B35" s="52">
        <f>'Cash Flows YTD'!B35</f>
        <v>-1415</v>
      </c>
      <c r="C35" s="15">
        <f>'Cash Flows YTD'!C35</f>
        <v>0</v>
      </c>
      <c r="D35" s="15">
        <f>'Cash Flows YTD'!D35-'Cash Flows YTD'!C35</f>
        <v>0</v>
      </c>
      <c r="E35" s="15">
        <f>'Cash Flows YTD'!E35-'Cash Flows YTD'!D35</f>
        <v>0</v>
      </c>
      <c r="F35" s="15">
        <f>'Cash Flows YTD'!F35-'Cash Flows YTD'!E35</f>
        <v>0</v>
      </c>
      <c r="G35" s="52">
        <f t="shared" si="13"/>
        <v>0</v>
      </c>
      <c r="H35" s="15">
        <f>'Cash Flows YTD'!H35</f>
        <v>0</v>
      </c>
      <c r="I35" s="15">
        <f>'Cash Flows YTD'!I35-'Cash Flows YTD'!H35</f>
        <v>0</v>
      </c>
      <c r="J35" s="15">
        <f>'Cash Flows YTD'!J35-'Cash Flows YTD'!I35</f>
        <v>0</v>
      </c>
      <c r="K35" s="15">
        <f>'Cash Flows YTD'!K35-'Cash Flows YTD'!J35</f>
        <v>0</v>
      </c>
      <c r="L35" s="52">
        <f t="shared" si="14"/>
        <v>0</v>
      </c>
      <c r="M35" s="15">
        <f>'Cash Flows YTD'!M35</f>
        <v>0</v>
      </c>
      <c r="N35" s="15">
        <f>'Cash Flows YTD'!N35-'Cash Flows YTD'!M35</f>
        <v>0</v>
      </c>
      <c r="O35" s="15">
        <f>'Cash Flows YTD'!O35-'Cash Flows YTD'!N35</f>
        <v>0</v>
      </c>
      <c r="P35" s="15">
        <f>'Cash Flows YTD'!P35-'Cash Flows YTD'!O35</f>
        <v>0</v>
      </c>
      <c r="Q35" s="52">
        <f t="shared" si="15"/>
        <v>0</v>
      </c>
      <c r="R35" s="15">
        <f>'Cash Flows YTD'!R35</f>
        <v>0</v>
      </c>
      <c r="S35" s="15">
        <f>'Cash Flows YTD'!S35-'Cash Flows YTD'!R35</f>
        <v>0</v>
      </c>
      <c r="T35" s="15">
        <f>'Cash Flows YTD'!T35-'Cash Flows YTD'!S35</f>
        <v>0</v>
      </c>
      <c r="U35" s="15"/>
      <c r="V35" s="52">
        <f t="shared" si="16"/>
        <v>0</v>
      </c>
      <c r="W35" s="99"/>
    </row>
    <row r="36" spans="1:23" s="16" customFormat="1" ht="10.9" customHeight="1" x14ac:dyDescent="0.2">
      <c r="A36" s="29" t="s">
        <v>57</v>
      </c>
      <c r="B36" s="52">
        <f>'Cash Flows YTD'!B36</f>
        <v>26</v>
      </c>
      <c r="C36" s="15">
        <f>'Cash Flows YTD'!C36</f>
        <v>-15</v>
      </c>
      <c r="D36" s="15">
        <f>'Cash Flows YTD'!D36-'Cash Flows YTD'!C36</f>
        <v>-3</v>
      </c>
      <c r="E36" s="15">
        <f>'Cash Flows YTD'!E36-'Cash Flows YTD'!D36</f>
        <v>-6</v>
      </c>
      <c r="F36" s="15">
        <f>'Cash Flows YTD'!F36-'Cash Flows YTD'!E36</f>
        <v>0</v>
      </c>
      <c r="G36" s="52">
        <f t="shared" si="13"/>
        <v>-24</v>
      </c>
      <c r="H36" s="15">
        <f>'Cash Flows YTD'!H36</f>
        <v>0</v>
      </c>
      <c r="I36" s="15">
        <f>'Cash Flows YTD'!I36-'Cash Flows YTD'!H36</f>
        <v>0</v>
      </c>
      <c r="J36" s="15">
        <f>'Cash Flows YTD'!J36-'Cash Flows YTD'!I36</f>
        <v>-2</v>
      </c>
      <c r="K36" s="15">
        <f>'Cash Flows YTD'!K36-'Cash Flows YTD'!J36</f>
        <v>0</v>
      </c>
      <c r="L36" s="52">
        <f t="shared" si="14"/>
        <v>-2</v>
      </c>
      <c r="M36" s="15">
        <f>'Cash Flows YTD'!M36</f>
        <v>0</v>
      </c>
      <c r="N36" s="15">
        <f>'Cash Flows YTD'!N36-'Cash Flows YTD'!M36</f>
        <v>0</v>
      </c>
      <c r="O36" s="15">
        <f>'Cash Flows YTD'!O35-'Cash Flows YTD'!N35</f>
        <v>0</v>
      </c>
      <c r="P36" s="15">
        <f>'Cash Flows YTD'!P36-'Cash Flows YTD'!O36</f>
        <v>0</v>
      </c>
      <c r="Q36" s="52">
        <f t="shared" si="15"/>
        <v>0</v>
      </c>
      <c r="R36" s="15">
        <f>'Cash Flows YTD'!R36</f>
        <v>0</v>
      </c>
      <c r="S36" s="15">
        <f>'Cash Flows YTD'!S36-'Cash Flows YTD'!R36</f>
        <v>0</v>
      </c>
      <c r="T36" s="15">
        <f>'Cash Flows YTD'!T36-'Cash Flows YTD'!S36</f>
        <v>0</v>
      </c>
      <c r="U36" s="15"/>
      <c r="V36" s="52">
        <f t="shared" si="16"/>
        <v>0</v>
      </c>
      <c r="W36" s="99"/>
    </row>
    <row r="37" spans="1:23" s="16" customFormat="1" ht="10.9" customHeight="1" x14ac:dyDescent="0.2">
      <c r="A37" s="29" t="s">
        <v>120</v>
      </c>
      <c r="B37" s="52">
        <f>'Cash Flows YTD'!B37</f>
        <v>26</v>
      </c>
      <c r="C37" s="15">
        <f>'Cash Flows YTD'!C37</f>
        <v>-2</v>
      </c>
      <c r="D37" s="15">
        <f>'Cash Flows YTD'!D37-'Cash Flows YTD'!C37</f>
        <v>0</v>
      </c>
      <c r="E37" s="15">
        <f>'Cash Flows YTD'!E37-'Cash Flows YTD'!D37</f>
        <v>-1</v>
      </c>
      <c r="F37" s="15">
        <f>'Cash Flows YTD'!F37-'Cash Flows YTD'!E37</f>
        <v>0</v>
      </c>
      <c r="G37" s="52">
        <f t="shared" si="13"/>
        <v>-3</v>
      </c>
      <c r="H37" s="15">
        <f>'Cash Flows YTD'!H37</f>
        <v>-1</v>
      </c>
      <c r="I37" s="15">
        <f>'Cash Flows YTD'!I37-'Cash Flows YTD'!H37</f>
        <v>-2</v>
      </c>
      <c r="J37" s="15">
        <f>'Cash Flows YTD'!J37-'Cash Flows YTD'!I37</f>
        <v>1</v>
      </c>
      <c r="K37" s="15">
        <f>'Cash Flows YTD'!K37-'Cash Flows YTD'!J37</f>
        <v>0</v>
      </c>
      <c r="L37" s="52">
        <f t="shared" si="14"/>
        <v>-2</v>
      </c>
      <c r="M37" s="15">
        <f>'Cash Flows YTD'!M37</f>
        <v>5</v>
      </c>
      <c r="N37" s="15">
        <f>'Cash Flows YTD'!N37-'Cash Flows YTD'!M37</f>
        <v>-4</v>
      </c>
      <c r="O37" s="15">
        <f>'Cash Flows YTD'!O37-'Cash Flows YTD'!N37</f>
        <v>1</v>
      </c>
      <c r="P37" s="15">
        <f>'Cash Flows YTD'!P37-'Cash Flows YTD'!O37</f>
        <v>-5</v>
      </c>
      <c r="Q37" s="52">
        <f t="shared" si="15"/>
        <v>-3</v>
      </c>
      <c r="R37" s="15">
        <f>'Cash Flows YTD'!R37</f>
        <v>-4</v>
      </c>
      <c r="S37" s="15">
        <f>'Cash Flows YTD'!S37-'Cash Flows YTD'!R37</f>
        <v>-3</v>
      </c>
      <c r="T37" s="15">
        <f>'Cash Flows YTD'!T37-'Cash Flows YTD'!S37</f>
        <v>2</v>
      </c>
      <c r="U37" s="15"/>
      <c r="V37" s="52">
        <f t="shared" si="16"/>
        <v>-5</v>
      </c>
      <c r="W37" s="99"/>
    </row>
    <row r="38" spans="1:23" s="6" customFormat="1" ht="10.9" customHeight="1" x14ac:dyDescent="0.25">
      <c r="A38" s="9" t="s">
        <v>137</v>
      </c>
      <c r="B38" s="51">
        <f>'Cash Flows YTD'!B38</f>
        <v>-167</v>
      </c>
      <c r="C38" s="18">
        <f t="shared" ref="C38:P38" si="17">SUM(C30:C37)</f>
        <v>-23</v>
      </c>
      <c r="D38" s="18">
        <f t="shared" si="17"/>
        <v>-8</v>
      </c>
      <c r="E38" s="18">
        <f t="shared" si="17"/>
        <v>53</v>
      </c>
      <c r="F38" s="18">
        <f t="shared" si="17"/>
        <v>-75</v>
      </c>
      <c r="G38" s="51">
        <f t="shared" si="17"/>
        <v>-53</v>
      </c>
      <c r="H38" s="18">
        <f t="shared" si="17"/>
        <v>349</v>
      </c>
      <c r="I38" s="18">
        <f t="shared" si="17"/>
        <v>-108</v>
      </c>
      <c r="J38" s="18">
        <f t="shared" si="17"/>
        <v>-106</v>
      </c>
      <c r="K38" s="18">
        <f t="shared" si="17"/>
        <v>118</v>
      </c>
      <c r="L38" s="51">
        <f t="shared" si="17"/>
        <v>253</v>
      </c>
      <c r="M38" s="18">
        <f t="shared" si="17"/>
        <v>13</v>
      </c>
      <c r="N38" s="18">
        <f t="shared" si="17"/>
        <v>-6</v>
      </c>
      <c r="O38" s="18">
        <f t="shared" ref="O38" si="18">SUM(O30:O37)</f>
        <v>21</v>
      </c>
      <c r="P38" s="18">
        <f t="shared" si="17"/>
        <v>-8</v>
      </c>
      <c r="Q38" s="51">
        <f t="shared" ref="Q38" si="19">SUM(Q30:Q37)</f>
        <v>20</v>
      </c>
      <c r="R38" s="18">
        <f t="shared" ref="R38" si="20">SUM(R30:R37)</f>
        <v>189</v>
      </c>
      <c r="S38" s="18">
        <f t="shared" ref="S38:T38" si="21">SUM(S30:S37)</f>
        <v>-6</v>
      </c>
      <c r="T38" s="18">
        <f t="shared" si="21"/>
        <v>-1</v>
      </c>
      <c r="U38" s="18"/>
      <c r="V38" s="51">
        <f t="shared" ref="V38" si="22">SUM(V30:V37)</f>
        <v>182</v>
      </c>
      <c r="W38" s="99"/>
    </row>
    <row r="39" spans="1:23" s="6" customFormat="1" ht="10.9" customHeight="1" x14ac:dyDescent="0.25">
      <c r="A39" s="26"/>
      <c r="B39" s="52"/>
      <c r="C39" s="15"/>
      <c r="D39" s="15"/>
      <c r="E39" s="15"/>
      <c r="F39" s="15"/>
      <c r="G39" s="52"/>
      <c r="H39" s="15"/>
      <c r="I39" s="15"/>
      <c r="J39" s="15"/>
      <c r="K39" s="15"/>
      <c r="L39" s="52"/>
      <c r="M39" s="15"/>
      <c r="N39" s="15"/>
      <c r="O39" s="15"/>
      <c r="P39" s="15"/>
      <c r="Q39" s="52"/>
      <c r="R39" s="15"/>
      <c r="S39" s="15"/>
      <c r="T39" s="15"/>
      <c r="U39" s="15"/>
      <c r="V39" s="52"/>
      <c r="W39" s="99"/>
    </row>
    <row r="40" spans="1:23" s="6" customFormat="1" ht="10.9" customHeight="1" x14ac:dyDescent="0.25">
      <c r="A40" s="9" t="s">
        <v>132</v>
      </c>
      <c r="B40" s="50">
        <f>'Cash Flows YTD'!B40</f>
        <v>-12</v>
      </c>
      <c r="C40" s="13">
        <f>'Cash Flows YTD'!C40</f>
        <v>1</v>
      </c>
      <c r="D40" s="13">
        <f>'Cash Flows YTD'!D40-'Cash Flows YTD'!C40</f>
        <v>-1</v>
      </c>
      <c r="E40" s="13">
        <f>'Cash Flows YTD'!E40-'Cash Flows YTD'!D40</f>
        <v>-2</v>
      </c>
      <c r="F40" s="13">
        <f>'Cash Flows YTD'!F40-'Cash Flows YTD'!E40</f>
        <v>1</v>
      </c>
      <c r="G40" s="50">
        <f t="shared" ref="G40" si="23">SUM(C40:F40)</f>
        <v>-1</v>
      </c>
      <c r="H40" s="13">
        <f>'Cash Flows YTD'!H40</f>
        <v>-8</v>
      </c>
      <c r="I40" s="13">
        <f>'Cash Flows YTD'!I40-'Cash Flows YTD'!H40</f>
        <v>2</v>
      </c>
      <c r="J40" s="13">
        <f>'Cash Flows YTD'!J40-'Cash Flows YTD'!I40</f>
        <v>2</v>
      </c>
      <c r="K40" s="13">
        <f>'Cash Flows YTD'!K40-'Cash Flows YTD'!J40</f>
        <v>5</v>
      </c>
      <c r="L40" s="50">
        <f t="shared" ref="L40" si="24">SUM(H40:K40)</f>
        <v>1</v>
      </c>
      <c r="M40" s="13">
        <f>'Cash Flows YTD'!M40</f>
        <v>-3</v>
      </c>
      <c r="N40" s="13">
        <f>'Cash Flows YTD'!N40-'Cash Flows YTD'!M40</f>
        <v>1</v>
      </c>
      <c r="O40" s="13">
        <f>'Cash Flows YTD'!O40-'Cash Flows YTD'!N40</f>
        <v>-4</v>
      </c>
      <c r="P40" s="13">
        <f>'Cash Flows YTD'!P40-'Cash Flows YTD'!O40</f>
        <v>-2</v>
      </c>
      <c r="Q40" s="50">
        <f t="shared" ref="Q40" si="25">SUM(M40:P40)</f>
        <v>-8</v>
      </c>
      <c r="R40" s="13">
        <f>'Cash Flows YTD'!R40</f>
        <v>0</v>
      </c>
      <c r="S40" s="13">
        <f>'Cash Flows YTD'!S40-'Cash Flows YTD'!R40</f>
        <v>-13</v>
      </c>
      <c r="T40" s="13">
        <f>'Cash Flows YTD'!T40-'Cash Flows YTD'!S40</f>
        <v>1</v>
      </c>
      <c r="U40" s="13"/>
      <c r="V40" s="50">
        <f t="shared" ref="V40" si="26">SUM(R40:U40)</f>
        <v>-12</v>
      </c>
      <c r="W40" s="99"/>
    </row>
    <row r="41" spans="1:23" s="6" customFormat="1" ht="10.9" customHeight="1" x14ac:dyDescent="0.25">
      <c r="A41" s="26"/>
      <c r="B41" s="52"/>
      <c r="C41" s="15"/>
      <c r="D41" s="15"/>
      <c r="E41" s="15"/>
      <c r="F41" s="15"/>
      <c r="G41" s="52"/>
      <c r="H41" s="15"/>
      <c r="I41" s="15"/>
      <c r="J41" s="15"/>
      <c r="K41" s="15"/>
      <c r="L41" s="52"/>
      <c r="M41" s="15"/>
      <c r="N41" s="15"/>
      <c r="O41" s="15"/>
      <c r="P41" s="15"/>
      <c r="Q41" s="52"/>
      <c r="R41" s="15"/>
      <c r="S41" s="15"/>
      <c r="T41" s="15"/>
      <c r="U41" s="15"/>
      <c r="V41" s="52"/>
      <c r="W41" s="99"/>
    </row>
    <row r="42" spans="1:23" s="3" customFormat="1" ht="10.9" customHeight="1" x14ac:dyDescent="0.2">
      <c r="A42" s="19" t="s">
        <v>40</v>
      </c>
      <c r="B42" s="52">
        <f>'Cash Flows YTD'!B42</f>
        <v>209</v>
      </c>
      <c r="C42" s="15">
        <f>C21+C27+C38+C40</f>
        <v>-53</v>
      </c>
      <c r="D42" s="15">
        <f>D21+D27+D38+D40</f>
        <v>-70</v>
      </c>
      <c r="E42" s="15">
        <f>E21+E27+E38+E40</f>
        <v>-10</v>
      </c>
      <c r="F42" s="15">
        <f>F21+F27+F38+F40</f>
        <v>-10</v>
      </c>
      <c r="G42" s="52">
        <f t="shared" ref="G42" si="27">SUM(C42:F42)</f>
        <v>-143</v>
      </c>
      <c r="H42" s="15">
        <f>H21+H27+H38+H40</f>
        <v>216</v>
      </c>
      <c r="I42" s="15">
        <f>I21+I27+I38+I40</f>
        <v>24</v>
      </c>
      <c r="J42" s="15">
        <f>J21+J27+J38+J40</f>
        <v>-102</v>
      </c>
      <c r="K42" s="15">
        <f>K21+K27+K38+K40</f>
        <v>257</v>
      </c>
      <c r="L42" s="52">
        <f t="shared" ref="L42" si="28">SUM(H42:K42)</f>
        <v>395</v>
      </c>
      <c r="M42" s="15">
        <f>M21+M27+M38+M40</f>
        <v>-9</v>
      </c>
      <c r="N42" s="15">
        <f>N21+N27+N38+N40</f>
        <v>71</v>
      </c>
      <c r="O42" s="15">
        <f>O21+O27+O38+O40</f>
        <v>107</v>
      </c>
      <c r="P42" s="15">
        <f>P21+P27+P38+P40</f>
        <v>93</v>
      </c>
      <c r="Q42" s="52">
        <f t="shared" ref="Q42" si="29">SUM(M42:P42)</f>
        <v>262</v>
      </c>
      <c r="R42" s="15">
        <f>R21+R27+R38+R40</f>
        <v>-535</v>
      </c>
      <c r="S42" s="15">
        <f>S21+S27+S38+S40</f>
        <v>11</v>
      </c>
      <c r="T42" s="15">
        <f>T21+T27+T38+T40</f>
        <v>0</v>
      </c>
      <c r="U42" s="15"/>
      <c r="V42" s="52">
        <f t="shared" ref="V42" si="30">SUM(R42:U42)</f>
        <v>-524</v>
      </c>
      <c r="W42" s="99"/>
    </row>
    <row r="43" spans="1:23" s="3" customFormat="1" ht="10.9" customHeight="1" x14ac:dyDescent="0.2">
      <c r="A43" s="19" t="s">
        <v>133</v>
      </c>
      <c r="B43" s="50">
        <f>'Cash Flows YTD'!B43</f>
        <v>56</v>
      </c>
      <c r="C43" s="13">
        <f>B44</f>
        <v>265</v>
      </c>
      <c r="D43" s="13">
        <f>C44</f>
        <v>212</v>
      </c>
      <c r="E43" s="13">
        <f>D44</f>
        <v>142</v>
      </c>
      <c r="F43" s="13">
        <f>E44</f>
        <v>132</v>
      </c>
      <c r="G43" s="50">
        <f>B44</f>
        <v>265</v>
      </c>
      <c r="H43" s="13">
        <f>$G$44</f>
        <v>122</v>
      </c>
      <c r="I43" s="13">
        <f>H44</f>
        <v>338</v>
      </c>
      <c r="J43" s="13">
        <f>I44</f>
        <v>362</v>
      </c>
      <c r="K43" s="13">
        <f>J44</f>
        <v>260</v>
      </c>
      <c r="L43" s="50">
        <f>G44</f>
        <v>122</v>
      </c>
      <c r="M43" s="13">
        <f>L44</f>
        <v>517</v>
      </c>
      <c r="N43" s="13">
        <f>M44</f>
        <v>508</v>
      </c>
      <c r="O43" s="13">
        <f>N44</f>
        <v>579</v>
      </c>
      <c r="P43" s="13">
        <f>O44</f>
        <v>686</v>
      </c>
      <c r="Q43" s="50">
        <f>L44</f>
        <v>517</v>
      </c>
      <c r="R43" s="13">
        <f>Q44</f>
        <v>779</v>
      </c>
      <c r="S43" s="13">
        <f>R44</f>
        <v>244</v>
      </c>
      <c r="T43" s="13">
        <f>S44</f>
        <v>255</v>
      </c>
      <c r="U43" s="13"/>
      <c r="V43" s="50">
        <f>Q44</f>
        <v>779</v>
      </c>
      <c r="W43" s="99"/>
    </row>
    <row r="44" spans="1:23" s="6" customFormat="1" ht="10.9" customHeight="1" thickBot="1" x14ac:dyDescent="0.3">
      <c r="A44" s="9" t="s">
        <v>141</v>
      </c>
      <c r="B44" s="53">
        <f>'Cash Flows YTD'!B44</f>
        <v>265</v>
      </c>
      <c r="C44" s="20">
        <f t="shared" ref="C44:D44" si="31">SUM(C42:C43)</f>
        <v>212</v>
      </c>
      <c r="D44" s="20">
        <f t="shared" si="31"/>
        <v>142</v>
      </c>
      <c r="E44" s="20">
        <f t="shared" ref="E44:H44" si="32">SUM(E42:E43)</f>
        <v>132</v>
      </c>
      <c r="F44" s="20">
        <f t="shared" si="32"/>
        <v>122</v>
      </c>
      <c r="G44" s="53">
        <f t="shared" si="32"/>
        <v>122</v>
      </c>
      <c r="H44" s="20">
        <f t="shared" si="32"/>
        <v>338</v>
      </c>
      <c r="I44" s="20">
        <f>SUM(I42:I43)</f>
        <v>362</v>
      </c>
      <c r="J44" s="20">
        <f>SUM(J42:J43)</f>
        <v>260</v>
      </c>
      <c r="K44" s="20">
        <f>SUM(K42:K43)</f>
        <v>517</v>
      </c>
      <c r="L44" s="53">
        <f t="shared" ref="L44:M44" si="33">SUM(L42:L43)</f>
        <v>517</v>
      </c>
      <c r="M44" s="20">
        <f t="shared" si="33"/>
        <v>508</v>
      </c>
      <c r="N44" s="20">
        <f>SUM(N42:N43)</f>
        <v>579</v>
      </c>
      <c r="O44" s="20">
        <f>SUM(O42:O43)</f>
        <v>686</v>
      </c>
      <c r="P44" s="20">
        <f>SUM(P42:P43)</f>
        <v>779</v>
      </c>
      <c r="Q44" s="53">
        <f t="shared" ref="Q44:R44" si="34">SUM(Q42:Q43)</f>
        <v>779</v>
      </c>
      <c r="R44" s="20">
        <f t="shared" si="34"/>
        <v>244</v>
      </c>
      <c r="S44" s="20">
        <f>SUM(S42:S43)</f>
        <v>255</v>
      </c>
      <c r="T44" s="20">
        <f>SUM(T42:T43)</f>
        <v>255</v>
      </c>
      <c r="U44" s="20"/>
      <c r="V44" s="53">
        <f t="shared" ref="V44" si="35">SUM(V42:V43)</f>
        <v>255</v>
      </c>
      <c r="W44" s="99"/>
    </row>
    <row r="45" spans="1:23" s="4" customFormat="1" ht="10.9" customHeight="1" thickTop="1" x14ac:dyDescent="0.25">
      <c r="A45" s="1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S45" s="90"/>
    </row>
    <row r="46" spans="1:23" s="3" customFormat="1" ht="10.9" customHeight="1" x14ac:dyDescent="0.2">
      <c r="A46" s="17"/>
    </row>
    <row r="47" spans="1:23" s="3" customFormat="1" ht="10.9" customHeight="1" outlineLevel="1" x14ac:dyDescent="0.2">
      <c r="A47" s="3" t="s">
        <v>72</v>
      </c>
      <c r="B47" s="65">
        <f>B44-'Cash Flows YTD'!B44</f>
        <v>0</v>
      </c>
      <c r="C47" s="65"/>
      <c r="D47" s="65"/>
      <c r="E47" s="65"/>
      <c r="F47" s="65"/>
      <c r="G47" s="65">
        <f>G44-'Cash Flows YTD'!G44</f>
        <v>0</v>
      </c>
      <c r="H47" s="65"/>
      <c r="I47" s="65"/>
      <c r="J47" s="65"/>
      <c r="K47" s="65"/>
      <c r="L47" s="65">
        <f>L44-'Cash Flows YTD'!L44</f>
        <v>0</v>
      </c>
      <c r="M47" s="65"/>
      <c r="N47" s="65"/>
      <c r="O47" s="65"/>
      <c r="P47" s="65"/>
      <c r="Q47" s="81"/>
    </row>
    <row r="48" spans="1:23" s="3" customFormat="1" ht="10.9" customHeight="1" outlineLevel="1" x14ac:dyDescent="0.2">
      <c r="A48" s="85" t="s">
        <v>84</v>
      </c>
      <c r="B48" s="65">
        <f>B6-'Income Statement'!B16</f>
        <v>0</v>
      </c>
      <c r="C48" s="65">
        <f>C6-'Income Statement'!C16</f>
        <v>0</v>
      </c>
      <c r="D48" s="65">
        <f>D6-'Income Statement'!D16</f>
        <v>0</v>
      </c>
      <c r="E48" s="65">
        <f>E6-'Income Statement'!E16</f>
        <v>0</v>
      </c>
      <c r="F48" s="65">
        <f>F6-'Income Statement'!F16</f>
        <v>0</v>
      </c>
      <c r="G48" s="65">
        <f>G6-'Income Statement'!G16</f>
        <v>0</v>
      </c>
      <c r="H48" s="65">
        <f>H6-'Income Statement'!H16</f>
        <v>0</v>
      </c>
      <c r="I48" s="65">
        <f>I6-'Income Statement'!I16</f>
        <v>0</v>
      </c>
      <c r="J48" s="65">
        <f>J6-'Income Statement'!J16</f>
        <v>0</v>
      </c>
      <c r="K48" s="65">
        <f>K6-'Income Statement'!K16</f>
        <v>0</v>
      </c>
      <c r="L48" s="65">
        <f>L6-'Income Statement'!L16</f>
        <v>0</v>
      </c>
      <c r="M48" s="65">
        <f>M6-'Income Statement'!M16</f>
        <v>0</v>
      </c>
      <c r="N48" s="65">
        <f>N6-'Income Statement'!N16</f>
        <v>0</v>
      </c>
      <c r="O48" s="65">
        <f>O6-'Income Statement'!O16</f>
        <v>0</v>
      </c>
      <c r="P48" s="65">
        <f>P6-'Income Statement'!P16</f>
        <v>0</v>
      </c>
      <c r="Q48" s="65">
        <f>Q6-'Income Statement'!Q16</f>
        <v>0</v>
      </c>
      <c r="R48" s="65">
        <f>R6-'Income Statement'!R16</f>
        <v>0</v>
      </c>
      <c r="S48" s="65">
        <f>S6-'Income Statement'!S16</f>
        <v>0</v>
      </c>
      <c r="T48" s="65">
        <f>T6-'Income Statement'!T16</f>
        <v>0</v>
      </c>
    </row>
    <row r="49" spans="1:20" s="3" customFormat="1" ht="10.9" customHeight="1" outlineLevel="1" x14ac:dyDescent="0.2">
      <c r="A49" s="85" t="s">
        <v>126</v>
      </c>
      <c r="B49" s="65">
        <f>B44-'Balance Sheet'!B7</f>
        <v>0</v>
      </c>
      <c r="C49" s="65">
        <f>C44-'Balance Sheet'!C7</f>
        <v>0</v>
      </c>
      <c r="D49" s="65">
        <f>D44-'Balance Sheet'!D7</f>
        <v>10</v>
      </c>
      <c r="E49" s="65">
        <f>E44-'Balance Sheet'!E7</f>
        <v>10</v>
      </c>
      <c r="F49" s="65">
        <f>F44-'Balance Sheet'!F7</f>
        <v>10</v>
      </c>
      <c r="G49" s="65">
        <f>G44-'Balance Sheet'!G7</f>
        <v>10</v>
      </c>
      <c r="H49" s="65">
        <f>H44-'Balance Sheet'!H7</f>
        <v>10</v>
      </c>
      <c r="I49" s="65">
        <f>I44-'Balance Sheet'!I7</f>
        <v>11</v>
      </c>
      <c r="J49" s="65">
        <f>J44-'Balance Sheet'!J7</f>
        <v>11</v>
      </c>
      <c r="K49" s="65">
        <f>K44-'Balance Sheet'!K7</f>
        <v>6</v>
      </c>
      <c r="L49" s="65">
        <f>L44-'Balance Sheet'!L7</f>
        <v>6</v>
      </c>
      <c r="M49" s="65">
        <f>M44-'Balance Sheet'!M7</f>
        <v>4</v>
      </c>
      <c r="N49" s="65">
        <f>N44-'Balance Sheet'!N7</f>
        <v>4</v>
      </c>
      <c r="O49" s="65">
        <f>O44-'Balance Sheet'!O7</f>
        <v>4</v>
      </c>
      <c r="P49" s="65">
        <f>P44-'Balance Sheet'!P7</f>
        <v>4</v>
      </c>
      <c r="Q49" s="65">
        <f>Q44-'Balance Sheet'!Q7</f>
        <v>4</v>
      </c>
      <c r="R49" s="65">
        <f>R44-'Balance Sheet'!R7</f>
        <v>4</v>
      </c>
      <c r="S49" s="65">
        <f>S44-'Balance Sheet'!S7</f>
        <v>4</v>
      </c>
      <c r="T49" s="65">
        <f>T44-'Balance Sheet'!T7</f>
        <v>3</v>
      </c>
    </row>
    <row r="50" spans="1:20" s="3" customFormat="1" ht="10.9" customHeight="1" outlineLevel="1" x14ac:dyDescent="0.2">
      <c r="A50" s="85" t="s">
        <v>89</v>
      </c>
      <c r="B50" s="65">
        <f t="shared" ref="B50:N50" si="36">B21+B27+B38+B40-B42</f>
        <v>0</v>
      </c>
      <c r="C50" s="65">
        <f t="shared" si="36"/>
        <v>0</v>
      </c>
      <c r="D50" s="65">
        <f t="shared" si="36"/>
        <v>0</v>
      </c>
      <c r="E50" s="65">
        <f t="shared" si="36"/>
        <v>0</v>
      </c>
      <c r="F50" s="65">
        <f t="shared" si="36"/>
        <v>0</v>
      </c>
      <c r="G50" s="65">
        <f t="shared" si="36"/>
        <v>0</v>
      </c>
      <c r="H50" s="65">
        <f t="shared" si="36"/>
        <v>0</v>
      </c>
      <c r="I50" s="65">
        <f t="shared" si="36"/>
        <v>0</v>
      </c>
      <c r="J50" s="65">
        <f t="shared" si="36"/>
        <v>0</v>
      </c>
      <c r="K50" s="65">
        <f t="shared" si="36"/>
        <v>0</v>
      </c>
      <c r="L50" s="65">
        <f t="shared" si="36"/>
        <v>0</v>
      </c>
      <c r="M50" s="65">
        <f t="shared" si="36"/>
        <v>0</v>
      </c>
      <c r="N50" s="65">
        <f t="shared" si="36"/>
        <v>0</v>
      </c>
      <c r="O50" s="65">
        <f t="shared" ref="O50:S50" si="37">O21+O27+O38+O40-O42</f>
        <v>0</v>
      </c>
      <c r="P50" s="65">
        <f t="shared" si="37"/>
        <v>0</v>
      </c>
      <c r="Q50" s="65">
        <f t="shared" si="37"/>
        <v>0</v>
      </c>
      <c r="R50" s="65">
        <f t="shared" si="37"/>
        <v>0</v>
      </c>
      <c r="S50" s="65">
        <f t="shared" si="37"/>
        <v>0</v>
      </c>
      <c r="T50" s="65">
        <f t="shared" ref="T50" si="38">T21+T27+T38+T40-T42</f>
        <v>0</v>
      </c>
    </row>
    <row r="51" spans="1:20" s="3" customFormat="1" ht="10.9" customHeight="1" outlineLevel="1" x14ac:dyDescent="0.2">
      <c r="A51" s="85" t="s">
        <v>85</v>
      </c>
      <c r="B51" s="65">
        <f>B44-B43-B42</f>
        <v>0</v>
      </c>
      <c r="C51" s="65">
        <f>C44-C43-C42</f>
        <v>0</v>
      </c>
      <c r="D51" s="65">
        <f t="shared" ref="D51:N51" si="39">D44-D43-D42</f>
        <v>0</v>
      </c>
      <c r="E51" s="65">
        <f t="shared" si="39"/>
        <v>0</v>
      </c>
      <c r="F51" s="65">
        <f t="shared" si="39"/>
        <v>0</v>
      </c>
      <c r="G51" s="65">
        <f t="shared" si="39"/>
        <v>0</v>
      </c>
      <c r="H51" s="65">
        <f t="shared" si="39"/>
        <v>0</v>
      </c>
      <c r="I51" s="65">
        <f t="shared" si="39"/>
        <v>0</v>
      </c>
      <c r="J51" s="65">
        <f t="shared" si="39"/>
        <v>0</v>
      </c>
      <c r="K51" s="65">
        <f t="shared" si="39"/>
        <v>0</v>
      </c>
      <c r="L51" s="65">
        <f t="shared" si="39"/>
        <v>0</v>
      </c>
      <c r="M51" s="65">
        <f t="shared" si="39"/>
        <v>0</v>
      </c>
      <c r="N51" s="65">
        <f t="shared" si="39"/>
        <v>0</v>
      </c>
      <c r="O51" s="65">
        <f t="shared" ref="O51:S51" si="40">O44-O43-O42</f>
        <v>0</v>
      </c>
      <c r="P51" s="65">
        <f t="shared" si="40"/>
        <v>0</v>
      </c>
      <c r="Q51" s="65">
        <f t="shared" si="40"/>
        <v>0</v>
      </c>
      <c r="R51" s="65">
        <f t="shared" si="40"/>
        <v>0</v>
      </c>
      <c r="S51" s="65">
        <f t="shared" si="40"/>
        <v>0</v>
      </c>
      <c r="T51" s="65">
        <f t="shared" ref="T51" si="41">T44-T43-T42</f>
        <v>0</v>
      </c>
    </row>
    <row r="52" spans="1:20" s="3" customFormat="1" ht="10.9" customHeight="1" outlineLevel="1" x14ac:dyDescent="0.2">
      <c r="A52" s="85"/>
    </row>
    <row r="53" spans="1:20" s="3" customFormat="1" ht="10.9" customHeight="1" outlineLevel="1" x14ac:dyDescent="0.2">
      <c r="A53" s="85" t="s">
        <v>86</v>
      </c>
      <c r="B53" s="65">
        <f>B21-'Cash Flows YTD'!B21</f>
        <v>0</v>
      </c>
      <c r="C53" s="65">
        <f>C21-'Cash Flows YTD'!C21</f>
        <v>0</v>
      </c>
      <c r="D53" s="65">
        <f>'Cash Flows YTD'!D21-'Cash Flows YTD'!C21-'Cash Flows QTD'!D21</f>
        <v>0</v>
      </c>
      <c r="E53" s="65">
        <f>'Cash Flows YTD'!E21-'Cash Flows YTD'!D21-'Cash Flows QTD'!E21</f>
        <v>0</v>
      </c>
      <c r="F53" s="65">
        <f>'Cash Flows YTD'!F21-'Cash Flows YTD'!E21-'Cash Flows QTD'!F21</f>
        <v>0</v>
      </c>
      <c r="G53" s="65">
        <f>G21-'Cash Flows YTD'!G21</f>
        <v>0</v>
      </c>
      <c r="H53" s="65">
        <f>H21-'Cash Flows YTD'!H21</f>
        <v>0</v>
      </c>
      <c r="I53" s="65">
        <f>'Cash Flows YTD'!I21-'Cash Flows YTD'!H21-'Cash Flows QTD'!I21</f>
        <v>0</v>
      </c>
      <c r="J53" s="65">
        <f>'Cash Flows YTD'!J21-'Cash Flows YTD'!I21-'Cash Flows QTD'!J21</f>
        <v>0</v>
      </c>
      <c r="K53" s="65">
        <f>'Cash Flows YTD'!K21-'Cash Flows YTD'!J21-'Cash Flows QTD'!K21</f>
        <v>0</v>
      </c>
      <c r="L53" s="65">
        <f>L21-'Cash Flows YTD'!L21</f>
        <v>0</v>
      </c>
      <c r="M53" s="65">
        <f>M21-'Cash Flows YTD'!M21</f>
        <v>0</v>
      </c>
      <c r="N53" s="65">
        <f>'Cash Flows YTD'!N21-'Cash Flows YTD'!M21-'Cash Flows QTD'!N21</f>
        <v>0</v>
      </c>
      <c r="O53" s="65">
        <f>'Cash Flows YTD'!O21-'Cash Flows YTD'!N21-'Cash Flows QTD'!O21</f>
        <v>0</v>
      </c>
      <c r="P53" s="65">
        <f>'Cash Flows YTD'!P21-'Cash Flows YTD'!O21-'Cash Flows QTD'!P21</f>
        <v>0</v>
      </c>
      <c r="Q53" s="65">
        <f>Q21-'Cash Flows YTD'!Q21</f>
        <v>0</v>
      </c>
      <c r="R53" s="65">
        <f>R21-'Cash Flows YTD'!R21</f>
        <v>0</v>
      </c>
      <c r="S53" s="65">
        <f>'Cash Flows YTD'!S21-'Cash Flows YTD'!R21-'Cash Flows QTD'!S21</f>
        <v>0</v>
      </c>
    </row>
    <row r="54" spans="1:20" s="3" customFormat="1" ht="10.9" customHeight="1" outlineLevel="1" x14ac:dyDescent="0.2">
      <c r="A54" s="85" t="s">
        <v>87</v>
      </c>
      <c r="B54" s="65">
        <f>B27-'Cash Flows YTD'!B27</f>
        <v>0</v>
      </c>
      <c r="C54" s="65">
        <f>C27-'Cash Flows YTD'!C27</f>
        <v>0</v>
      </c>
      <c r="D54" s="65">
        <f>'Cash Flows YTD'!D27-'Cash Flows YTD'!C27-D27</f>
        <v>0</v>
      </c>
      <c r="E54" s="65">
        <f>'Cash Flows YTD'!E27-'Cash Flows YTD'!D27-'Cash Flows QTD'!E27</f>
        <v>0</v>
      </c>
      <c r="F54" s="65">
        <f>'Cash Flows YTD'!F27-'Cash Flows YTD'!E27-'Cash Flows QTD'!F27</f>
        <v>0</v>
      </c>
      <c r="G54" s="65">
        <f>G27-'Cash Flows YTD'!G27</f>
        <v>0</v>
      </c>
      <c r="H54" s="65">
        <f>H27-'Cash Flows YTD'!H27</f>
        <v>0</v>
      </c>
      <c r="I54" s="65">
        <f>'Cash Flows YTD'!I27-'Cash Flows YTD'!H27-I27</f>
        <v>0</v>
      </c>
      <c r="J54" s="65">
        <f>'Cash Flows YTD'!J27-'Cash Flows YTD'!I27-'Cash Flows QTD'!J27</f>
        <v>0</v>
      </c>
      <c r="K54" s="65">
        <f>'Cash Flows YTD'!K27-'Cash Flows YTD'!J27-'Cash Flows QTD'!K27</f>
        <v>0</v>
      </c>
      <c r="L54" s="65">
        <f>L27-'Cash Flows YTD'!L27</f>
        <v>0</v>
      </c>
      <c r="M54" s="65">
        <f>M27-'Cash Flows YTD'!M27</f>
        <v>0</v>
      </c>
      <c r="N54" s="65">
        <f>'Cash Flows YTD'!N27-'Cash Flows YTD'!M27-N27</f>
        <v>0</v>
      </c>
      <c r="O54" s="65">
        <f>'Cash Flows YTD'!O27-'Cash Flows YTD'!N27-O27</f>
        <v>0</v>
      </c>
      <c r="P54" s="65">
        <f>'Cash Flows YTD'!P27-'Cash Flows YTD'!O27-P27</f>
        <v>0</v>
      </c>
      <c r="Q54" s="65">
        <f>Q27-'Cash Flows YTD'!Q27</f>
        <v>0</v>
      </c>
      <c r="R54" s="65">
        <f>R27-'Cash Flows YTD'!R27</f>
        <v>0</v>
      </c>
      <c r="S54" s="65">
        <f>'Cash Flows YTD'!S27-'Cash Flows YTD'!R27-S27</f>
        <v>0</v>
      </c>
    </row>
    <row r="55" spans="1:20" s="3" customFormat="1" ht="10.9" customHeight="1" outlineLevel="1" x14ac:dyDescent="0.2">
      <c r="A55" s="85" t="s">
        <v>88</v>
      </c>
      <c r="B55" s="65">
        <f>B38-'Cash Flows YTD'!B38</f>
        <v>0</v>
      </c>
      <c r="C55" s="65">
        <f>C38-'Cash Flows YTD'!C38</f>
        <v>0</v>
      </c>
      <c r="D55" s="65">
        <f>'Cash Flows YTD'!D38-'Cash Flows YTD'!C38-'Cash Flows QTD'!D38</f>
        <v>0</v>
      </c>
      <c r="E55" s="65">
        <f>'Cash Flows YTD'!E38-'Cash Flows YTD'!D38-'Cash Flows QTD'!E38</f>
        <v>0</v>
      </c>
      <c r="F55" s="65">
        <f>'Cash Flows YTD'!F38-'Cash Flows YTD'!E38-'Cash Flows QTD'!F38</f>
        <v>0</v>
      </c>
      <c r="G55" s="65">
        <f>G38-'Cash Flows YTD'!G38</f>
        <v>0</v>
      </c>
      <c r="H55" s="65">
        <f>H38-'Cash Flows YTD'!H38</f>
        <v>0</v>
      </c>
      <c r="I55" s="65">
        <f>'Cash Flows YTD'!I38-'Cash Flows YTD'!H38-'Cash Flows QTD'!I38</f>
        <v>0</v>
      </c>
      <c r="J55" s="65">
        <f>'Cash Flows YTD'!J38-'Cash Flows YTD'!I38-'Cash Flows QTD'!J38</f>
        <v>0</v>
      </c>
      <c r="K55" s="65">
        <f>'Cash Flows YTD'!K38-'Cash Flows YTD'!J38-'Cash Flows QTD'!K38</f>
        <v>0</v>
      </c>
      <c r="L55" s="65">
        <f>L38-'Cash Flows YTD'!L38</f>
        <v>0</v>
      </c>
      <c r="M55" s="65">
        <f>M38-'Cash Flows YTD'!M38</f>
        <v>0</v>
      </c>
      <c r="N55" s="65">
        <f>'Cash Flows YTD'!N38-'Cash Flows YTD'!M38-'Cash Flows QTD'!N38</f>
        <v>0</v>
      </c>
      <c r="O55" s="65">
        <f>'Cash Flows YTD'!O38-'Cash Flows YTD'!N38-'Cash Flows QTD'!O38</f>
        <v>0</v>
      </c>
      <c r="P55" s="65">
        <f>'Cash Flows YTD'!P38-'Cash Flows YTD'!O38-'Cash Flows QTD'!P38</f>
        <v>0</v>
      </c>
      <c r="Q55" s="65">
        <f>Q38-'Cash Flows YTD'!Q38</f>
        <v>0</v>
      </c>
      <c r="R55" s="65">
        <f>R38-'Cash Flows YTD'!R38</f>
        <v>0</v>
      </c>
      <c r="S55" s="65">
        <f>'Cash Flows YTD'!S38-'Cash Flows YTD'!R38-'Cash Flows QTD'!S38</f>
        <v>0</v>
      </c>
    </row>
    <row r="56" spans="1:20" s="3" customFormat="1" ht="10.9" customHeight="1" outlineLevel="1" x14ac:dyDescent="0.2">
      <c r="B56" s="65">
        <f>B40-'Cash Flows YTD'!B40</f>
        <v>0</v>
      </c>
      <c r="C56" s="65">
        <f>C40-'Cash Flows YTD'!C40</f>
        <v>0</v>
      </c>
      <c r="D56" s="65">
        <f>'Cash Flows YTD'!D40-'Cash Flows YTD'!C40-'Cash Flows QTD'!D40</f>
        <v>0</v>
      </c>
      <c r="E56" s="65">
        <f>'Cash Flows YTD'!E40-'Cash Flows YTD'!D40-'Cash Flows QTD'!E40</f>
        <v>0</v>
      </c>
      <c r="F56" s="65">
        <f>'Cash Flows YTD'!F40-'Cash Flows YTD'!E40-'Cash Flows QTD'!F40</f>
        <v>0</v>
      </c>
      <c r="G56" s="65">
        <f>G40-'Cash Flows YTD'!G40</f>
        <v>0</v>
      </c>
      <c r="H56" s="65">
        <f>H40-'Cash Flows YTD'!H40</f>
        <v>0</v>
      </c>
      <c r="I56" s="65">
        <f>'Cash Flows YTD'!I40-'Cash Flows YTD'!H40-'Cash Flows QTD'!I40</f>
        <v>0</v>
      </c>
      <c r="J56" s="65">
        <f>'Cash Flows YTD'!J40-'Cash Flows YTD'!I40-'Cash Flows QTD'!J40</f>
        <v>0</v>
      </c>
      <c r="K56" s="65">
        <f>'Cash Flows YTD'!K40-'Cash Flows YTD'!J40-'Cash Flows QTD'!K40</f>
        <v>0</v>
      </c>
      <c r="L56" s="65">
        <f>L40-'Cash Flows YTD'!L40</f>
        <v>0</v>
      </c>
      <c r="M56" s="65">
        <f>M40-'Cash Flows YTD'!M40</f>
        <v>0</v>
      </c>
      <c r="N56" s="65">
        <f>'Cash Flows YTD'!N40-'Cash Flows YTD'!M40-'Cash Flows QTD'!N40</f>
        <v>0</v>
      </c>
      <c r="O56" s="65">
        <f>'Cash Flows YTD'!O40-'Cash Flows YTD'!N40-'Cash Flows QTD'!O40</f>
        <v>0</v>
      </c>
      <c r="P56" s="65">
        <f>'Cash Flows YTD'!P40-'Cash Flows YTD'!O40-'Cash Flows QTD'!P40</f>
        <v>0</v>
      </c>
      <c r="Q56" s="65">
        <f>Q40-'Cash Flows YTD'!Q40</f>
        <v>0</v>
      </c>
      <c r="R56" s="65">
        <f>R40-'Cash Flows YTD'!R40</f>
        <v>0</v>
      </c>
      <c r="S56" s="65">
        <f>'Cash Flows YTD'!S40-'Cash Flows YTD'!R40-'Cash Flows QTD'!S40</f>
        <v>0</v>
      </c>
    </row>
    <row r="57" spans="1:20" s="3" customFormat="1" ht="10.9" customHeight="1" x14ac:dyDescent="0.2"/>
    <row r="58" spans="1:20" s="3" customFormat="1" ht="10.9" customHeight="1" x14ac:dyDescent="0.2"/>
    <row r="59" spans="1:20" s="3" customFormat="1" ht="10.9" customHeight="1" x14ac:dyDescent="0.2"/>
    <row r="60" spans="1:20" s="3" customFormat="1" ht="10.9" customHeight="1" x14ac:dyDescent="0.2"/>
    <row r="61" spans="1:20" s="3" customFormat="1" ht="10.9" customHeight="1" x14ac:dyDescent="0.2"/>
    <row r="62" spans="1:20" s="3" customFormat="1" ht="10.9" customHeight="1" x14ac:dyDescent="0.2"/>
    <row r="63" spans="1:20" s="3" customFormat="1" ht="10.9" customHeight="1" x14ac:dyDescent="0.2"/>
    <row r="64" spans="1:20" s="3" customFormat="1" ht="10.9" customHeight="1" x14ac:dyDescent="0.2"/>
    <row r="65" s="3" customFormat="1" ht="10.9" customHeight="1" x14ac:dyDescent="0.2"/>
    <row r="66" s="3" customFormat="1" ht="10.9" customHeight="1" x14ac:dyDescent="0.2"/>
    <row r="67" s="3" customFormat="1" ht="10.9" customHeight="1" x14ac:dyDescent="0.2"/>
    <row r="68" s="3" customFormat="1" ht="10.9" customHeight="1" x14ac:dyDescent="0.2"/>
    <row r="69" s="3" customFormat="1" ht="10.9" customHeight="1" x14ac:dyDescent="0.2"/>
    <row r="70" s="3" customFormat="1" ht="10.9" customHeight="1" x14ac:dyDescent="0.2"/>
    <row r="71" s="3" customFormat="1" ht="10.9" customHeight="1" x14ac:dyDescent="0.2"/>
    <row r="72" s="3" customFormat="1" ht="10.9" customHeight="1" x14ac:dyDescent="0.2"/>
    <row r="73" s="3" customFormat="1" ht="10.9" customHeight="1" x14ac:dyDescent="0.2"/>
    <row r="74" s="3" customFormat="1" ht="10.9" customHeight="1" x14ac:dyDescent="0.2"/>
    <row r="75" s="3" customFormat="1" ht="10.9" customHeight="1" x14ac:dyDescent="0.2"/>
    <row r="76" s="3" customFormat="1" ht="10.9" customHeight="1" x14ac:dyDescent="0.2"/>
    <row r="77" s="3" customFormat="1" ht="10.9" customHeight="1" x14ac:dyDescent="0.2"/>
    <row r="78" s="3" customFormat="1" ht="10.9" customHeight="1" x14ac:dyDescent="0.2"/>
    <row r="79" s="3" customFormat="1" ht="10.9" customHeight="1" x14ac:dyDescent="0.2"/>
    <row r="80" s="3" customFormat="1" ht="10.9" customHeight="1" x14ac:dyDescent="0.2"/>
    <row r="81" s="3" customFormat="1" ht="10.9" customHeight="1" x14ac:dyDescent="0.2"/>
    <row r="82" s="3" customFormat="1" ht="10.9" customHeight="1" x14ac:dyDescent="0.2"/>
    <row r="83" s="3" customFormat="1" ht="10.9" customHeight="1" x14ac:dyDescent="0.2"/>
    <row r="84" s="3" customFormat="1" ht="10.9" customHeight="1" x14ac:dyDescent="0.2"/>
    <row r="85" s="3" customFormat="1" ht="10.9" customHeight="1" x14ac:dyDescent="0.2"/>
    <row r="86" s="3" customFormat="1" ht="10.9" customHeight="1" x14ac:dyDescent="0.2"/>
    <row r="87" s="3" customFormat="1" ht="10.9" customHeight="1" x14ac:dyDescent="0.2"/>
    <row r="88" s="3" customFormat="1" ht="10.9" customHeight="1" x14ac:dyDescent="0.2"/>
    <row r="89" s="3" customFormat="1" ht="10.9" customHeight="1" x14ac:dyDescent="0.2"/>
    <row r="90" s="3" customFormat="1" ht="10.9" customHeight="1" x14ac:dyDescent="0.2"/>
    <row r="91" s="3" customFormat="1" ht="10.9" customHeight="1" x14ac:dyDescent="0.2"/>
    <row r="92" s="3" customFormat="1" ht="10.9" customHeight="1" x14ac:dyDescent="0.2"/>
    <row r="93" s="3" customFormat="1" ht="10.9" customHeight="1" x14ac:dyDescent="0.2"/>
    <row r="94" s="3" customFormat="1" ht="10.9" customHeight="1" x14ac:dyDescent="0.2"/>
    <row r="95" s="3" customFormat="1" ht="10.9" customHeight="1" x14ac:dyDescent="0.2"/>
    <row r="96" s="3" customFormat="1" ht="10.9" customHeight="1" x14ac:dyDescent="0.2"/>
    <row r="97" s="3" customFormat="1" ht="10.9" customHeight="1" x14ac:dyDescent="0.2"/>
    <row r="98" s="3" customFormat="1" ht="10.9" customHeight="1" x14ac:dyDescent="0.2"/>
    <row r="99" s="3" customFormat="1" ht="10.9" customHeight="1" x14ac:dyDescent="0.2"/>
    <row r="100" s="3" customFormat="1" ht="10.9" customHeight="1" x14ac:dyDescent="0.2"/>
    <row r="101" s="3" customFormat="1" ht="10.9" customHeight="1" x14ac:dyDescent="0.2"/>
    <row r="102" s="3" customFormat="1" ht="10.9" customHeight="1" x14ac:dyDescent="0.2"/>
    <row r="103" s="3" customFormat="1" ht="10.9" customHeight="1" x14ac:dyDescent="0.2"/>
    <row r="104" s="3" customFormat="1" ht="10.9" customHeight="1" x14ac:dyDescent="0.2"/>
    <row r="105" s="3" customFormat="1" ht="10.9" customHeight="1" x14ac:dyDescent="0.2"/>
    <row r="106" s="3" customFormat="1" ht="10.9" customHeight="1" x14ac:dyDescent="0.2"/>
    <row r="107" s="3" customFormat="1" ht="10.9" customHeight="1" x14ac:dyDescent="0.2"/>
    <row r="108" s="3" customFormat="1" ht="10.9" customHeight="1" x14ac:dyDescent="0.2"/>
    <row r="109" s="3" customFormat="1" ht="10.9" customHeight="1" x14ac:dyDescent="0.2"/>
    <row r="110" s="3" customFormat="1" ht="10.9" customHeight="1" x14ac:dyDescent="0.2"/>
    <row r="111" s="3" customFormat="1" ht="10.9" customHeight="1" x14ac:dyDescent="0.2"/>
    <row r="112" s="3" customFormat="1" ht="10.9" customHeight="1" x14ac:dyDescent="0.2"/>
    <row r="113" s="3" customFormat="1" ht="10.9" customHeight="1" x14ac:dyDescent="0.2"/>
    <row r="114" s="3" customFormat="1" ht="10.9" customHeight="1" x14ac:dyDescent="0.2"/>
    <row r="115" s="3" customFormat="1" ht="10.9" customHeight="1" x14ac:dyDescent="0.2"/>
    <row r="116" s="3" customFormat="1" ht="10.9" customHeight="1" x14ac:dyDescent="0.2"/>
    <row r="117" s="3" customFormat="1" ht="10.9" customHeight="1" x14ac:dyDescent="0.2"/>
    <row r="118" s="3" customFormat="1" ht="10.9" customHeight="1" x14ac:dyDescent="0.2"/>
    <row r="119" s="3" customFormat="1" ht="10.9" customHeight="1" x14ac:dyDescent="0.2"/>
    <row r="120" s="3" customFormat="1" ht="10.9" customHeight="1" x14ac:dyDescent="0.2"/>
    <row r="121" s="3" customFormat="1" ht="10.9" customHeight="1" x14ac:dyDescent="0.2"/>
    <row r="122" s="3" customFormat="1" ht="10.9" customHeight="1" x14ac:dyDescent="0.2"/>
    <row r="123" s="3" customFormat="1" ht="10.9" customHeight="1" x14ac:dyDescent="0.2"/>
  </sheetData>
  <mergeCells count="8">
    <mergeCell ref="C1:G1"/>
    <mergeCell ref="C3:F3"/>
    <mergeCell ref="R1:V1"/>
    <mergeCell ref="R3:U3"/>
    <mergeCell ref="M1:Q1"/>
    <mergeCell ref="M3:P3"/>
    <mergeCell ref="H1:L1"/>
    <mergeCell ref="H3:K3"/>
  </mergeCells>
  <printOptions horizontalCentered="1"/>
  <pageMargins left="0.25" right="0.25" top="0.75" bottom="0.75" header="0.3" footer="0.3"/>
  <pageSetup scale="50" orientation="landscape" r:id="rId1"/>
  <headerFooter alignWithMargins="0"/>
  <ignoredErrors>
    <ignoredError sqref="C23:D23 G23:G26 G20 C28:D30 G28:G35 C39:D41 G39:G42 C38 C44:D44 G36 G44 C43 G37 C26 C24 C2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V66"/>
  <sheetViews>
    <sheetView view="pageBreakPreview" topLeftCell="C1" zoomScale="85" zoomScaleNormal="100" zoomScaleSheetLayoutView="85" workbookViewId="0">
      <selection activeCell="A62" sqref="A62:XFD161"/>
    </sheetView>
  </sheetViews>
  <sheetFormatPr defaultColWidth="9.81640625" defaultRowHeight="10.9" customHeight="1" outlineLevelCol="1" x14ac:dyDescent="0.2"/>
  <cols>
    <col min="1" max="1" width="30.81640625" style="2" customWidth="1"/>
    <col min="2" max="2" width="9.81640625" style="1" customWidth="1"/>
    <col min="3" max="6" width="9.81640625" style="1" customWidth="1" outlineLevel="1"/>
    <col min="7" max="7" width="9.81640625" style="1" customWidth="1"/>
    <col min="8" max="11" width="9.81640625" style="1" customWidth="1" outlineLevel="1"/>
    <col min="12" max="12" width="10.7265625" style="1" customWidth="1"/>
    <col min="13" max="16" width="9.81640625" style="1" customWidth="1" outlineLevel="1"/>
    <col min="17" max="17" width="10.7265625" style="1" bestFit="1" customWidth="1"/>
    <col min="18" max="18" width="9.81640625" style="1"/>
    <col min="19" max="20" width="9.81640625" style="1" customWidth="1"/>
    <col min="21" max="21" width="9.81640625" style="1" hidden="1" customWidth="1"/>
    <col min="22" max="22" width="16.26953125" style="1" bestFit="1" customWidth="1"/>
    <col min="23" max="16384" width="9.81640625" style="1"/>
  </cols>
  <sheetData>
    <row r="1" spans="1:22" s="3" customFormat="1" ht="10.9" customHeight="1" thickBot="1" x14ac:dyDescent="0.3">
      <c r="A1" s="36" t="s">
        <v>44</v>
      </c>
      <c r="B1" s="72" t="s">
        <v>22</v>
      </c>
      <c r="C1" s="105" t="s">
        <v>23</v>
      </c>
      <c r="D1" s="106"/>
      <c r="E1" s="106"/>
      <c r="F1" s="106"/>
      <c r="G1" s="107"/>
      <c r="H1" s="105" t="s">
        <v>42</v>
      </c>
      <c r="I1" s="106"/>
      <c r="J1" s="106"/>
      <c r="K1" s="106"/>
      <c r="L1" s="107"/>
      <c r="M1" s="105" t="s">
        <v>43</v>
      </c>
      <c r="N1" s="106"/>
      <c r="O1" s="106"/>
      <c r="P1" s="106"/>
      <c r="Q1" s="107"/>
      <c r="R1" s="105" t="s">
        <v>102</v>
      </c>
      <c r="S1" s="106"/>
      <c r="T1" s="106"/>
      <c r="U1" s="106"/>
      <c r="V1" s="107"/>
    </row>
    <row r="2" spans="1:22" s="3" customFormat="1" ht="10.9" customHeight="1" thickBot="1" x14ac:dyDescent="0.3">
      <c r="A2" s="16" t="s">
        <v>10</v>
      </c>
      <c r="D2" s="4"/>
      <c r="I2" s="4"/>
      <c r="N2" s="4"/>
      <c r="S2" s="4"/>
    </row>
    <row r="3" spans="1:22" s="3" customFormat="1" ht="10.9" customHeight="1" x14ac:dyDescent="0.25">
      <c r="A3" s="3" t="s">
        <v>61</v>
      </c>
      <c r="B3" s="47" t="s">
        <v>3</v>
      </c>
      <c r="C3" s="108" t="s">
        <v>0</v>
      </c>
      <c r="D3" s="108"/>
      <c r="E3" s="108"/>
      <c r="F3" s="108"/>
      <c r="G3" s="47" t="s">
        <v>3</v>
      </c>
      <c r="H3" s="108" t="s">
        <v>0</v>
      </c>
      <c r="I3" s="108"/>
      <c r="J3" s="108"/>
      <c r="K3" s="108"/>
      <c r="L3" s="47" t="s">
        <v>3</v>
      </c>
      <c r="M3" s="108" t="s">
        <v>0</v>
      </c>
      <c r="N3" s="108"/>
      <c r="O3" s="108"/>
      <c r="P3" s="108"/>
      <c r="Q3" s="47" t="s">
        <v>3</v>
      </c>
      <c r="R3" s="108" t="s">
        <v>0</v>
      </c>
      <c r="S3" s="108"/>
      <c r="T3" s="108"/>
      <c r="U3" s="108"/>
      <c r="V3" s="47" t="s">
        <v>134</v>
      </c>
    </row>
    <row r="4" spans="1:22" s="6" customFormat="1" ht="10.9" customHeight="1" x14ac:dyDescent="0.25">
      <c r="A4" s="17"/>
      <c r="B4" s="48">
        <v>43465</v>
      </c>
      <c r="C4" s="5">
        <v>43554</v>
      </c>
      <c r="D4" s="5">
        <v>43645</v>
      </c>
      <c r="E4" s="5">
        <v>43736</v>
      </c>
      <c r="F4" s="5">
        <v>43830</v>
      </c>
      <c r="G4" s="48">
        <v>43830</v>
      </c>
      <c r="H4" s="5">
        <v>43918</v>
      </c>
      <c r="I4" s="5">
        <v>44009</v>
      </c>
      <c r="J4" s="5">
        <v>44100</v>
      </c>
      <c r="K4" s="5">
        <v>44196</v>
      </c>
      <c r="L4" s="48">
        <v>44196</v>
      </c>
      <c r="M4" s="5">
        <v>44289</v>
      </c>
      <c r="N4" s="5">
        <v>44380</v>
      </c>
      <c r="O4" s="5">
        <v>44471</v>
      </c>
      <c r="P4" s="5">
        <v>44561</v>
      </c>
      <c r="Q4" s="48">
        <v>44561</v>
      </c>
      <c r="R4" s="5">
        <v>44653</v>
      </c>
      <c r="S4" s="5">
        <v>44744</v>
      </c>
      <c r="T4" s="5">
        <v>44835</v>
      </c>
      <c r="U4" s="5"/>
      <c r="V4" s="48">
        <v>44835</v>
      </c>
    </row>
    <row r="5" spans="1:22" s="34" customFormat="1" ht="10.9" customHeight="1" x14ac:dyDescent="0.25">
      <c r="A5" s="40" t="s">
        <v>110</v>
      </c>
      <c r="B5" s="60"/>
      <c r="C5" s="33"/>
      <c r="D5" s="33"/>
      <c r="E5" s="33"/>
      <c r="F5" s="33"/>
      <c r="G5" s="60"/>
      <c r="H5" s="66"/>
      <c r="I5" s="32"/>
      <c r="J5" s="33"/>
      <c r="K5" s="33"/>
      <c r="L5" s="60"/>
      <c r="M5" s="66"/>
      <c r="N5" s="32"/>
      <c r="O5" s="11"/>
      <c r="P5" s="11"/>
      <c r="Q5" s="60"/>
      <c r="R5" s="66"/>
      <c r="S5" s="32"/>
      <c r="T5" s="11"/>
      <c r="U5" s="11"/>
      <c r="V5" s="60"/>
    </row>
    <row r="6" spans="1:22" s="3" customFormat="1" ht="10.9" customHeight="1" x14ac:dyDescent="0.2">
      <c r="A6" s="12" t="s">
        <v>112</v>
      </c>
      <c r="B6" s="52">
        <v>2169</v>
      </c>
      <c r="C6" s="15">
        <v>551</v>
      </c>
      <c r="D6" s="15">
        <v>537</v>
      </c>
      <c r="E6" s="15">
        <v>512</v>
      </c>
      <c r="F6" s="15">
        <v>575</v>
      </c>
      <c r="G6" s="52">
        <v>2175</v>
      </c>
      <c r="H6" s="15">
        <v>475</v>
      </c>
      <c r="I6" s="15">
        <v>398</v>
      </c>
      <c r="J6" s="15">
        <v>572</v>
      </c>
      <c r="K6" s="15">
        <v>676</v>
      </c>
      <c r="L6" s="52">
        <v>2121</v>
      </c>
      <c r="M6" s="15">
        <v>606</v>
      </c>
      <c r="N6" s="15">
        <v>598</v>
      </c>
      <c r="O6" s="15">
        <v>631</v>
      </c>
      <c r="P6" s="15">
        <v>633</v>
      </c>
      <c r="Q6" s="52">
        <v>2468</v>
      </c>
      <c r="R6" s="15">
        <v>619</v>
      </c>
      <c r="S6" s="15">
        <v>764</v>
      </c>
      <c r="T6" s="15">
        <v>707</v>
      </c>
      <c r="U6" s="15"/>
      <c r="V6" s="52">
        <v>2090</v>
      </c>
    </row>
    <row r="7" spans="1:22" s="3" customFormat="1" ht="10.9" customHeight="1" x14ac:dyDescent="0.2">
      <c r="A7" s="12" t="s">
        <v>113</v>
      </c>
      <c r="B7" s="52">
        <v>2658</v>
      </c>
      <c r="C7" s="15">
        <v>665</v>
      </c>
      <c r="D7" s="15">
        <v>705</v>
      </c>
      <c r="E7" s="15">
        <v>714</v>
      </c>
      <c r="F7" s="15">
        <v>729</v>
      </c>
      <c r="G7" s="52">
        <v>2813</v>
      </c>
      <c r="H7" s="15">
        <v>704</v>
      </c>
      <c r="I7" s="15">
        <v>631</v>
      </c>
      <c r="J7" s="15">
        <v>790</v>
      </c>
      <c r="K7" s="15">
        <v>825</v>
      </c>
      <c r="L7" s="52">
        <v>2950</v>
      </c>
      <c r="M7" s="15">
        <v>813</v>
      </c>
      <c r="N7" s="15">
        <v>879</v>
      </c>
      <c r="O7" s="15">
        <v>865</v>
      </c>
      <c r="P7" s="15">
        <v>821</v>
      </c>
      <c r="Q7" s="52">
        <v>3378</v>
      </c>
      <c r="R7" s="15">
        <v>887</v>
      </c>
      <c r="S7" s="15">
        <v>922</v>
      </c>
      <c r="T7" s="15">
        <v>911</v>
      </c>
      <c r="U7" s="15"/>
      <c r="V7" s="52">
        <v>2720</v>
      </c>
    </row>
    <row r="8" spans="1:22" s="6" customFormat="1" ht="10.9" customHeight="1" x14ac:dyDescent="0.25">
      <c r="A8" s="17" t="s">
        <v>4</v>
      </c>
      <c r="B8" s="61">
        <v>4827</v>
      </c>
      <c r="C8" s="35">
        <v>1216</v>
      </c>
      <c r="D8" s="35">
        <v>1242</v>
      </c>
      <c r="E8" s="35">
        <v>1226</v>
      </c>
      <c r="F8" s="35">
        <v>1304</v>
      </c>
      <c r="G8" s="61">
        <v>4988</v>
      </c>
      <c r="H8" s="35">
        <v>1179</v>
      </c>
      <c r="I8" s="35">
        <v>1029</v>
      </c>
      <c r="J8" s="35">
        <v>1362</v>
      </c>
      <c r="K8" s="35">
        <v>1501</v>
      </c>
      <c r="L8" s="61">
        <v>5071</v>
      </c>
      <c r="M8" s="35">
        <v>1419</v>
      </c>
      <c r="N8" s="35">
        <v>1477</v>
      </c>
      <c r="O8" s="35">
        <v>1496</v>
      </c>
      <c r="P8" s="35">
        <v>1454</v>
      </c>
      <c r="Q8" s="61">
        <v>5846</v>
      </c>
      <c r="R8" s="35">
        <v>1506</v>
      </c>
      <c r="S8" s="35">
        <v>1686</v>
      </c>
      <c r="T8" s="35">
        <v>1618</v>
      </c>
      <c r="U8" s="35"/>
      <c r="V8" s="61">
        <v>4810</v>
      </c>
    </row>
    <row r="9" spans="1:22" s="6" customFormat="1" ht="10.9" customHeight="1" x14ac:dyDescent="0.25">
      <c r="A9" s="29"/>
      <c r="B9" s="52"/>
      <c r="C9" s="15"/>
      <c r="D9" s="15"/>
      <c r="E9" s="15"/>
      <c r="F9" s="15"/>
      <c r="G9" s="52"/>
      <c r="H9" s="15"/>
      <c r="I9" s="15"/>
      <c r="J9" s="15"/>
      <c r="K9" s="15"/>
      <c r="L9" s="52"/>
      <c r="M9" s="15"/>
      <c r="N9" s="15"/>
      <c r="O9" s="15"/>
      <c r="P9" s="15"/>
      <c r="Q9" s="52"/>
      <c r="R9" s="15"/>
      <c r="S9" s="15"/>
      <c r="T9" s="15"/>
      <c r="U9" s="15"/>
      <c r="V9" s="52"/>
    </row>
    <row r="10" spans="1:22" s="6" customFormat="1" ht="10.9" customHeight="1" x14ac:dyDescent="0.25">
      <c r="A10" s="12"/>
      <c r="B10" s="52"/>
      <c r="C10" s="15"/>
      <c r="D10" s="15"/>
      <c r="E10" s="15"/>
      <c r="F10" s="15"/>
      <c r="G10" s="52"/>
      <c r="H10" s="15"/>
      <c r="I10" s="15"/>
      <c r="J10" s="15"/>
      <c r="K10" s="15"/>
      <c r="L10" s="52"/>
      <c r="M10" s="15"/>
      <c r="N10" s="15"/>
      <c r="O10" s="15"/>
      <c r="P10" s="15"/>
      <c r="Q10" s="52"/>
      <c r="R10" s="15"/>
      <c r="S10" s="15"/>
      <c r="T10" s="15"/>
      <c r="U10" s="15"/>
      <c r="V10" s="52"/>
    </row>
    <row r="11" spans="1:22" s="34" customFormat="1" ht="10.9" customHeight="1" x14ac:dyDescent="0.25">
      <c r="A11" s="40" t="s">
        <v>111</v>
      </c>
      <c r="B11" s="60"/>
      <c r="C11" s="32"/>
      <c r="D11" s="32"/>
      <c r="E11" s="32"/>
      <c r="F11" s="32"/>
      <c r="G11" s="60"/>
      <c r="H11" s="32"/>
      <c r="I11" s="32"/>
      <c r="J11" s="32"/>
      <c r="K11" s="32"/>
      <c r="L11" s="60"/>
      <c r="M11" s="32"/>
      <c r="N11" s="32"/>
      <c r="O11" s="32"/>
      <c r="P11" s="32"/>
      <c r="Q11" s="60"/>
      <c r="R11" s="32"/>
      <c r="S11" s="32"/>
      <c r="T11" s="32"/>
      <c r="U11" s="32"/>
      <c r="V11" s="60"/>
    </row>
    <row r="12" spans="1:22" s="3" customFormat="1" ht="10.9" customHeight="1" x14ac:dyDescent="0.2">
      <c r="A12" s="12" t="s">
        <v>112</v>
      </c>
      <c r="B12" s="56">
        <v>0.44934742075823492</v>
      </c>
      <c r="C12" s="39">
        <v>0.453125</v>
      </c>
      <c r="D12" s="39">
        <v>0.43236714975845408</v>
      </c>
      <c r="E12" s="39">
        <v>0.41761827079934749</v>
      </c>
      <c r="F12" s="39">
        <v>0.44095092024539878</v>
      </c>
      <c r="G12" s="56">
        <v>0.43604651162790697</v>
      </c>
      <c r="H12" s="39">
        <v>0.40288379983036471</v>
      </c>
      <c r="I12" s="39">
        <v>0.38678328474246843</v>
      </c>
      <c r="J12" s="39">
        <v>0.41997063142437591</v>
      </c>
      <c r="K12" s="39">
        <v>0.45036642238507663</v>
      </c>
      <c r="L12" s="56">
        <v>0.41826069808716232</v>
      </c>
      <c r="M12" s="39">
        <v>0.42706131078224102</v>
      </c>
      <c r="N12" s="39">
        <v>0.4048747461069736</v>
      </c>
      <c r="O12" s="39">
        <v>0.4217914438502674</v>
      </c>
      <c r="P12" s="39">
        <v>0.43535075653370015</v>
      </c>
      <c r="Q12" s="56">
        <v>0.42216900444748545</v>
      </c>
      <c r="R12" s="39">
        <v>0.4110225763612218</v>
      </c>
      <c r="S12" s="39">
        <v>0.45314353499406879</v>
      </c>
      <c r="T12" s="39">
        <v>0.43695920889987638</v>
      </c>
      <c r="U12" s="39"/>
      <c r="V12" s="56">
        <v>0.43451143451143454</v>
      </c>
    </row>
    <row r="13" spans="1:22" s="3" customFormat="1" ht="10.9" customHeight="1" x14ac:dyDescent="0.2">
      <c r="A13" s="12" t="s">
        <v>113</v>
      </c>
      <c r="B13" s="56">
        <v>0.55065257924176503</v>
      </c>
      <c r="C13" s="39">
        <v>0.546875</v>
      </c>
      <c r="D13" s="39">
        <v>0.56763285024154586</v>
      </c>
      <c r="E13" s="39">
        <v>0.58238172920065256</v>
      </c>
      <c r="F13" s="39">
        <v>0.55904907975460127</v>
      </c>
      <c r="G13" s="56">
        <v>0.56395348837209303</v>
      </c>
      <c r="H13" s="39">
        <v>0.59711620016963529</v>
      </c>
      <c r="I13" s="39">
        <v>0.61321671525753163</v>
      </c>
      <c r="J13" s="39">
        <v>0.58002936857562404</v>
      </c>
      <c r="K13" s="39">
        <v>0.54963357761492337</v>
      </c>
      <c r="L13" s="56">
        <v>0.58173930191283774</v>
      </c>
      <c r="M13" s="39">
        <v>0.57293868921775903</v>
      </c>
      <c r="N13" s="39">
        <v>0.5951252538930264</v>
      </c>
      <c r="O13" s="39">
        <v>0.57820855614973266</v>
      </c>
      <c r="P13" s="39">
        <v>0.56464924346629985</v>
      </c>
      <c r="Q13" s="56">
        <v>0.57783099555251449</v>
      </c>
      <c r="R13" s="39">
        <v>0.58897742363877825</v>
      </c>
      <c r="S13" s="39">
        <v>0.54685646500593121</v>
      </c>
      <c r="T13" s="39">
        <v>0.56304079110012362</v>
      </c>
      <c r="U13" s="39"/>
      <c r="V13" s="56">
        <v>0.56548856548856552</v>
      </c>
    </row>
    <row r="14" spans="1:22" s="6" customFormat="1" ht="10.9" customHeight="1" x14ac:dyDescent="0.25">
      <c r="A14" s="17" t="s">
        <v>93</v>
      </c>
      <c r="B14" s="62">
        <v>1</v>
      </c>
      <c r="C14" s="42">
        <v>1</v>
      </c>
      <c r="D14" s="42">
        <v>1</v>
      </c>
      <c r="E14" s="42">
        <v>1</v>
      </c>
      <c r="F14" s="42">
        <v>1</v>
      </c>
      <c r="G14" s="62">
        <v>1</v>
      </c>
      <c r="H14" s="42">
        <v>1</v>
      </c>
      <c r="I14" s="42">
        <v>1</v>
      </c>
      <c r="J14" s="42">
        <v>1</v>
      </c>
      <c r="K14" s="42">
        <v>1</v>
      </c>
      <c r="L14" s="62">
        <v>1</v>
      </c>
      <c r="M14" s="42">
        <v>1</v>
      </c>
      <c r="N14" s="42">
        <v>1</v>
      </c>
      <c r="O14" s="42">
        <v>1</v>
      </c>
      <c r="P14" s="42">
        <v>1</v>
      </c>
      <c r="Q14" s="62">
        <v>1</v>
      </c>
      <c r="R14" s="42">
        <v>1</v>
      </c>
      <c r="S14" s="42">
        <v>1</v>
      </c>
      <c r="T14" s="42">
        <v>1</v>
      </c>
      <c r="U14" s="42"/>
      <c r="V14" s="62">
        <v>1</v>
      </c>
    </row>
    <row r="15" spans="1:22" s="6" customFormat="1" ht="10.9" customHeight="1" x14ac:dyDescent="0.25">
      <c r="A15" s="29"/>
      <c r="B15" s="52"/>
      <c r="C15" s="15"/>
      <c r="D15" s="15"/>
      <c r="E15" s="15"/>
      <c r="F15" s="15"/>
      <c r="G15" s="52"/>
      <c r="H15" s="15"/>
      <c r="I15" s="15"/>
      <c r="J15" s="15"/>
      <c r="K15" s="15"/>
      <c r="L15" s="52"/>
      <c r="M15" s="15"/>
      <c r="N15" s="15"/>
      <c r="O15" s="15"/>
      <c r="P15" s="15"/>
      <c r="Q15" s="52"/>
      <c r="R15" s="15"/>
      <c r="S15" s="15"/>
      <c r="T15" s="15"/>
      <c r="U15" s="15"/>
      <c r="V15" s="52"/>
    </row>
    <row r="16" spans="1:22" s="6" customFormat="1" ht="10.9" customHeight="1" x14ac:dyDescent="0.25">
      <c r="A16" s="40" t="s">
        <v>70</v>
      </c>
      <c r="B16" s="52"/>
      <c r="C16" s="15"/>
      <c r="D16" s="15"/>
      <c r="E16" s="15"/>
      <c r="F16" s="15"/>
      <c r="G16" s="52"/>
      <c r="H16" s="15"/>
      <c r="I16" s="15"/>
      <c r="J16" s="15"/>
      <c r="K16" s="15"/>
      <c r="L16" s="52"/>
      <c r="M16" s="15"/>
      <c r="N16" s="15"/>
      <c r="O16" s="15"/>
      <c r="P16" s="15"/>
      <c r="Q16" s="52"/>
      <c r="R16" s="15"/>
      <c r="S16" s="15"/>
      <c r="T16" s="15"/>
      <c r="U16" s="15"/>
      <c r="V16" s="52"/>
    </row>
    <row r="17" spans="1:22" s="6" customFormat="1" ht="10.9" customHeight="1" x14ac:dyDescent="0.25">
      <c r="A17" s="16" t="s">
        <v>65</v>
      </c>
      <c r="B17" s="52"/>
      <c r="C17" s="15"/>
      <c r="D17" s="15"/>
      <c r="E17" s="15"/>
      <c r="F17" s="15"/>
      <c r="G17" s="49"/>
      <c r="H17" s="11">
        <v>127</v>
      </c>
      <c r="I17" s="11">
        <v>120</v>
      </c>
      <c r="J17" s="11">
        <v>148</v>
      </c>
      <c r="K17" s="11">
        <v>167</v>
      </c>
      <c r="L17" s="49">
        <v>562</v>
      </c>
      <c r="M17" s="11">
        <v>177</v>
      </c>
      <c r="N17" s="11">
        <v>163</v>
      </c>
      <c r="O17" s="11">
        <v>172</v>
      </c>
      <c r="P17" s="11">
        <v>155</v>
      </c>
      <c r="Q17" s="49">
        <v>667</v>
      </c>
      <c r="R17" s="11">
        <v>155</v>
      </c>
      <c r="S17" s="11">
        <v>267</v>
      </c>
      <c r="T17" s="11">
        <v>248</v>
      </c>
      <c r="U17" s="11"/>
      <c r="V17" s="49">
        <v>670</v>
      </c>
    </row>
    <row r="18" spans="1:22" s="6" customFormat="1" ht="10.9" customHeight="1" x14ac:dyDescent="0.25">
      <c r="A18" s="16" t="s">
        <v>104</v>
      </c>
      <c r="B18" s="52"/>
      <c r="C18" s="15"/>
      <c r="D18" s="15"/>
      <c r="E18" s="15"/>
      <c r="F18" s="15"/>
      <c r="G18" s="49"/>
      <c r="H18" s="15">
        <v>153</v>
      </c>
      <c r="I18" s="15">
        <v>141</v>
      </c>
      <c r="J18" s="15">
        <v>216</v>
      </c>
      <c r="K18" s="15">
        <v>250</v>
      </c>
      <c r="L18" s="52">
        <v>760</v>
      </c>
      <c r="M18" s="15">
        <v>191</v>
      </c>
      <c r="N18" s="15">
        <v>206</v>
      </c>
      <c r="O18" s="15">
        <v>215</v>
      </c>
      <c r="P18" s="15">
        <v>245</v>
      </c>
      <c r="Q18" s="52">
        <v>857</v>
      </c>
      <c r="R18" s="15">
        <v>214</v>
      </c>
      <c r="S18" s="15">
        <v>262</v>
      </c>
      <c r="T18" s="15">
        <v>245</v>
      </c>
      <c r="U18" s="11"/>
      <c r="V18" s="52">
        <v>721</v>
      </c>
    </row>
    <row r="19" spans="1:22" s="6" customFormat="1" ht="10.9" customHeight="1" x14ac:dyDescent="0.25">
      <c r="A19" s="16" t="s">
        <v>105</v>
      </c>
      <c r="B19" s="52"/>
      <c r="C19" s="15"/>
      <c r="D19" s="15"/>
      <c r="E19" s="15"/>
      <c r="F19" s="15"/>
      <c r="G19" s="49"/>
      <c r="H19" s="15">
        <v>124</v>
      </c>
      <c r="I19" s="15">
        <v>86</v>
      </c>
      <c r="J19" s="15">
        <v>133</v>
      </c>
      <c r="K19" s="15">
        <v>163</v>
      </c>
      <c r="L19" s="52">
        <v>506</v>
      </c>
      <c r="M19" s="15">
        <v>150</v>
      </c>
      <c r="N19" s="15">
        <v>140</v>
      </c>
      <c r="O19" s="15">
        <v>156</v>
      </c>
      <c r="P19" s="15">
        <v>149</v>
      </c>
      <c r="Q19" s="52">
        <v>595</v>
      </c>
      <c r="R19" s="15">
        <v>159</v>
      </c>
      <c r="S19" s="15">
        <v>154</v>
      </c>
      <c r="T19" s="15">
        <v>142</v>
      </c>
      <c r="U19" s="11"/>
      <c r="V19" s="52">
        <v>455</v>
      </c>
    </row>
    <row r="20" spans="1:22" s="6" customFormat="1" ht="10.9" customHeight="1" x14ac:dyDescent="0.25">
      <c r="A20" s="16" t="s">
        <v>103</v>
      </c>
      <c r="B20" s="50"/>
      <c r="C20" s="13"/>
      <c r="D20" s="13"/>
      <c r="E20" s="13"/>
      <c r="F20" s="13"/>
      <c r="G20" s="100"/>
      <c r="H20" s="13">
        <v>71</v>
      </c>
      <c r="I20" s="13">
        <v>51</v>
      </c>
      <c r="J20" s="13">
        <v>75</v>
      </c>
      <c r="K20" s="13">
        <v>96</v>
      </c>
      <c r="L20" s="50">
        <v>293</v>
      </c>
      <c r="M20" s="13">
        <v>88</v>
      </c>
      <c r="N20" s="13">
        <v>89</v>
      </c>
      <c r="O20" s="13">
        <v>88</v>
      </c>
      <c r="P20" s="13">
        <v>84</v>
      </c>
      <c r="Q20" s="50">
        <v>349</v>
      </c>
      <c r="R20" s="13">
        <v>91</v>
      </c>
      <c r="S20" s="13">
        <v>81</v>
      </c>
      <c r="T20" s="13">
        <v>72</v>
      </c>
      <c r="U20" s="101"/>
      <c r="V20" s="50">
        <v>244</v>
      </c>
    </row>
    <row r="21" spans="1:22" s="6" customFormat="1" ht="10.9" customHeight="1" x14ac:dyDescent="0.25">
      <c r="A21" s="29" t="s">
        <v>64</v>
      </c>
      <c r="B21" s="52">
        <v>2169</v>
      </c>
      <c r="C21" s="15">
        <v>551</v>
      </c>
      <c r="D21" s="15">
        <v>537</v>
      </c>
      <c r="E21" s="15">
        <v>512</v>
      </c>
      <c r="F21" s="15">
        <v>575</v>
      </c>
      <c r="G21" s="52">
        <v>2175</v>
      </c>
      <c r="H21" s="15">
        <v>475</v>
      </c>
      <c r="I21" s="15">
        <v>398</v>
      </c>
      <c r="J21" s="15">
        <v>572</v>
      </c>
      <c r="K21" s="15">
        <v>676</v>
      </c>
      <c r="L21" s="52">
        <v>2121</v>
      </c>
      <c r="M21" s="15">
        <v>606</v>
      </c>
      <c r="N21" s="15">
        <v>598</v>
      </c>
      <c r="O21" s="15">
        <v>631</v>
      </c>
      <c r="P21" s="15">
        <v>633</v>
      </c>
      <c r="Q21" s="52">
        <v>2468</v>
      </c>
      <c r="R21" s="15">
        <v>619</v>
      </c>
      <c r="S21" s="15">
        <v>764</v>
      </c>
      <c r="T21" s="15">
        <v>707</v>
      </c>
      <c r="U21" s="15"/>
      <c r="V21" s="52">
        <v>2090</v>
      </c>
    </row>
    <row r="22" spans="1:22" s="6" customFormat="1" ht="10.9" customHeight="1" x14ac:dyDescent="0.25">
      <c r="A22" s="16" t="s">
        <v>66</v>
      </c>
      <c r="B22" s="52">
        <v>2147</v>
      </c>
      <c r="C22" s="15">
        <v>536</v>
      </c>
      <c r="D22" s="15">
        <v>579</v>
      </c>
      <c r="E22" s="15">
        <v>590</v>
      </c>
      <c r="F22" s="15">
        <v>589</v>
      </c>
      <c r="G22" s="52">
        <v>2294</v>
      </c>
      <c r="H22" s="15">
        <v>576</v>
      </c>
      <c r="I22" s="15">
        <v>532</v>
      </c>
      <c r="J22" s="15">
        <v>650</v>
      </c>
      <c r="K22" s="15">
        <v>669</v>
      </c>
      <c r="L22" s="52">
        <v>2427</v>
      </c>
      <c r="M22" s="15">
        <v>667</v>
      </c>
      <c r="N22" s="15">
        <v>731</v>
      </c>
      <c r="O22" s="15">
        <v>727</v>
      </c>
      <c r="P22" s="15">
        <v>689</v>
      </c>
      <c r="Q22" s="52">
        <v>2814</v>
      </c>
      <c r="R22" s="15">
        <v>752</v>
      </c>
      <c r="S22" s="15">
        <v>791</v>
      </c>
      <c r="T22" s="15">
        <v>792</v>
      </c>
      <c r="U22" s="15"/>
      <c r="V22" s="52">
        <v>2335</v>
      </c>
    </row>
    <row r="23" spans="1:22" s="6" customFormat="1" ht="10.9" customHeight="1" x14ac:dyDescent="0.25">
      <c r="A23" s="16" t="s">
        <v>67</v>
      </c>
      <c r="B23" s="52">
        <v>456</v>
      </c>
      <c r="C23" s="15">
        <v>115</v>
      </c>
      <c r="D23" s="15">
        <v>112</v>
      </c>
      <c r="E23" s="15">
        <v>109</v>
      </c>
      <c r="F23" s="15">
        <v>123</v>
      </c>
      <c r="G23" s="52">
        <v>459</v>
      </c>
      <c r="H23" s="15">
        <v>114</v>
      </c>
      <c r="I23" s="15">
        <v>95</v>
      </c>
      <c r="J23" s="15">
        <v>129</v>
      </c>
      <c r="K23" s="15">
        <v>142</v>
      </c>
      <c r="L23" s="52">
        <v>480</v>
      </c>
      <c r="M23" s="15">
        <v>134</v>
      </c>
      <c r="N23" s="15">
        <v>140</v>
      </c>
      <c r="O23" s="15">
        <v>128</v>
      </c>
      <c r="P23" s="15">
        <v>121</v>
      </c>
      <c r="Q23" s="52">
        <v>523</v>
      </c>
      <c r="R23" s="15">
        <v>126</v>
      </c>
      <c r="S23" s="15">
        <v>123</v>
      </c>
      <c r="T23" s="15">
        <v>111</v>
      </c>
      <c r="U23" s="15"/>
      <c r="V23" s="52">
        <v>360</v>
      </c>
    </row>
    <row r="24" spans="1:22" s="6" customFormat="1" ht="10.9" customHeight="1" x14ac:dyDescent="0.25">
      <c r="A24" s="16" t="s">
        <v>68</v>
      </c>
      <c r="B24" s="50">
        <v>55</v>
      </c>
      <c r="C24" s="13">
        <v>14</v>
      </c>
      <c r="D24" s="13">
        <v>14</v>
      </c>
      <c r="E24" s="13">
        <v>15</v>
      </c>
      <c r="F24" s="74">
        <v>17</v>
      </c>
      <c r="G24" s="50">
        <v>60</v>
      </c>
      <c r="H24" s="13">
        <v>14</v>
      </c>
      <c r="I24" s="13">
        <v>4</v>
      </c>
      <c r="J24" s="13">
        <v>11</v>
      </c>
      <c r="K24" s="74">
        <v>14</v>
      </c>
      <c r="L24" s="50">
        <v>43</v>
      </c>
      <c r="M24" s="13">
        <v>12</v>
      </c>
      <c r="N24" s="13">
        <v>8</v>
      </c>
      <c r="O24" s="13">
        <v>10</v>
      </c>
      <c r="P24" s="74">
        <v>11</v>
      </c>
      <c r="Q24" s="50">
        <v>41</v>
      </c>
      <c r="R24" s="13">
        <v>9</v>
      </c>
      <c r="S24" s="13">
        <v>8</v>
      </c>
      <c r="T24" s="13">
        <v>8</v>
      </c>
      <c r="U24" s="74"/>
      <c r="V24" s="50">
        <v>25</v>
      </c>
    </row>
    <row r="25" spans="1:22" s="6" customFormat="1" ht="10.9" customHeight="1" x14ac:dyDescent="0.25">
      <c r="A25" s="29" t="s">
        <v>62</v>
      </c>
      <c r="B25" s="52">
        <v>2658</v>
      </c>
      <c r="C25" s="15">
        <v>665</v>
      </c>
      <c r="D25" s="15">
        <v>705</v>
      </c>
      <c r="E25" s="15">
        <v>714</v>
      </c>
      <c r="F25" s="15">
        <v>729</v>
      </c>
      <c r="G25" s="52">
        <v>2813</v>
      </c>
      <c r="H25" s="15">
        <v>704</v>
      </c>
      <c r="I25" s="15">
        <v>631</v>
      </c>
      <c r="J25" s="15">
        <v>790</v>
      </c>
      <c r="K25" s="15">
        <v>825</v>
      </c>
      <c r="L25" s="52">
        <v>2950</v>
      </c>
      <c r="M25" s="15">
        <v>813</v>
      </c>
      <c r="N25" s="15">
        <v>879</v>
      </c>
      <c r="O25" s="15">
        <v>865</v>
      </c>
      <c r="P25" s="15">
        <v>821</v>
      </c>
      <c r="Q25" s="52">
        <v>3378</v>
      </c>
      <c r="R25" s="15">
        <v>887</v>
      </c>
      <c r="S25" s="15">
        <v>922</v>
      </c>
      <c r="T25" s="15">
        <v>911</v>
      </c>
      <c r="U25" s="15"/>
      <c r="V25" s="52">
        <v>2720</v>
      </c>
    </row>
    <row r="26" spans="1:22" s="6" customFormat="1" ht="10.9" customHeight="1" x14ac:dyDescent="0.25">
      <c r="A26" s="16" t="s">
        <v>4</v>
      </c>
      <c r="B26" s="61">
        <v>4827</v>
      </c>
      <c r="C26" s="35">
        <v>1216</v>
      </c>
      <c r="D26" s="35">
        <v>1242</v>
      </c>
      <c r="E26" s="35">
        <v>1226</v>
      </c>
      <c r="F26" s="35">
        <v>1304</v>
      </c>
      <c r="G26" s="61">
        <v>4988</v>
      </c>
      <c r="H26" s="35">
        <v>1179</v>
      </c>
      <c r="I26" s="35">
        <v>1029</v>
      </c>
      <c r="J26" s="35">
        <v>1362</v>
      </c>
      <c r="K26" s="35">
        <v>1501</v>
      </c>
      <c r="L26" s="61">
        <v>5071</v>
      </c>
      <c r="M26" s="35">
        <v>1419</v>
      </c>
      <c r="N26" s="35">
        <v>1477</v>
      </c>
      <c r="O26" s="35">
        <v>1496</v>
      </c>
      <c r="P26" s="35">
        <v>1454</v>
      </c>
      <c r="Q26" s="61">
        <v>5846</v>
      </c>
      <c r="R26" s="35">
        <v>1506</v>
      </c>
      <c r="S26" s="35">
        <v>1686</v>
      </c>
      <c r="T26" s="35">
        <v>1618</v>
      </c>
      <c r="U26" s="35"/>
      <c r="V26" s="61">
        <v>4810</v>
      </c>
    </row>
    <row r="27" spans="1:22" s="6" customFormat="1" ht="10.9" customHeight="1" x14ac:dyDescent="0.25">
      <c r="A27" s="16"/>
      <c r="B27" s="52"/>
      <c r="C27" s="15"/>
      <c r="D27" s="15"/>
      <c r="E27" s="15"/>
      <c r="F27" s="15"/>
      <c r="G27" s="52"/>
      <c r="H27" s="15"/>
      <c r="I27" s="15"/>
      <c r="J27" s="15"/>
      <c r="K27" s="15"/>
      <c r="L27" s="52"/>
      <c r="M27" s="15"/>
      <c r="N27" s="15"/>
      <c r="O27" s="15"/>
      <c r="P27" s="15"/>
      <c r="Q27" s="52"/>
      <c r="R27" s="15"/>
      <c r="S27" s="15"/>
      <c r="T27" s="15"/>
      <c r="U27" s="15"/>
      <c r="V27" s="52"/>
    </row>
    <row r="28" spans="1:22" s="6" customFormat="1" ht="10.9" customHeight="1" x14ac:dyDescent="0.25">
      <c r="A28" s="40" t="s">
        <v>69</v>
      </c>
      <c r="B28" s="52"/>
      <c r="C28" s="15"/>
      <c r="D28" s="15"/>
      <c r="E28" s="15"/>
      <c r="F28" s="15"/>
      <c r="G28" s="52"/>
      <c r="H28" s="15"/>
      <c r="I28" s="15"/>
      <c r="J28" s="15"/>
      <c r="K28" s="15"/>
      <c r="L28" s="52"/>
      <c r="M28" s="15"/>
      <c r="N28" s="15"/>
      <c r="O28" s="15"/>
      <c r="P28" s="15"/>
      <c r="Q28" s="52"/>
      <c r="R28" s="15"/>
      <c r="S28" s="15"/>
      <c r="T28" s="15"/>
      <c r="U28" s="15"/>
      <c r="V28" s="52"/>
    </row>
    <row r="29" spans="1:22" s="6" customFormat="1" ht="10.9" customHeight="1" x14ac:dyDescent="0.25">
      <c r="A29" s="16" t="s">
        <v>65</v>
      </c>
      <c r="B29" s="56"/>
      <c r="C29" s="41"/>
      <c r="D29" s="41"/>
      <c r="E29" s="41"/>
      <c r="F29" s="41"/>
      <c r="G29" s="63"/>
      <c r="H29" s="41">
        <v>0.1077184054283291</v>
      </c>
      <c r="I29" s="41">
        <v>0.11661807580174927</v>
      </c>
      <c r="J29" s="41">
        <v>0.10866372980910426</v>
      </c>
      <c r="K29" s="41">
        <v>0.11125916055962691</v>
      </c>
      <c r="L29" s="63">
        <v>0.11082626700847958</v>
      </c>
      <c r="M29" s="41">
        <v>0.12473572938689217</v>
      </c>
      <c r="N29" s="41">
        <v>0.1103588354773189</v>
      </c>
      <c r="O29" s="41">
        <v>0.11497326203208556</v>
      </c>
      <c r="P29" s="41">
        <v>0.10660247592847318</v>
      </c>
      <c r="Q29" s="96">
        <v>0.11409510776599384</v>
      </c>
      <c r="R29" s="41">
        <v>0.10292164674634795</v>
      </c>
      <c r="S29" s="41">
        <v>0.15836298932384341</v>
      </c>
      <c r="T29" s="41">
        <v>0.15327564894932014</v>
      </c>
      <c r="U29" s="41"/>
      <c r="V29" s="96">
        <v>0.1392931392931393</v>
      </c>
    </row>
    <row r="30" spans="1:22" s="6" customFormat="1" ht="10.9" customHeight="1" x14ac:dyDescent="0.25">
      <c r="A30" s="16" t="s">
        <v>104</v>
      </c>
      <c r="B30" s="56"/>
      <c r="C30" s="41"/>
      <c r="D30" s="41"/>
      <c r="E30" s="41"/>
      <c r="F30" s="41"/>
      <c r="G30" s="63"/>
      <c r="H30" s="41">
        <v>0.12977099236641221</v>
      </c>
      <c r="I30" s="41">
        <v>0.13702623906705538</v>
      </c>
      <c r="J30" s="41">
        <v>0.15859030837004406</v>
      </c>
      <c r="K30" s="41">
        <v>0.16655562958027981</v>
      </c>
      <c r="L30" s="63">
        <v>0.14987182015381581</v>
      </c>
      <c r="M30" s="41">
        <v>0.13460183227625089</v>
      </c>
      <c r="N30" s="41">
        <v>0.13947190250507785</v>
      </c>
      <c r="O30" s="41">
        <v>0.14371657754010694</v>
      </c>
      <c r="P30" s="41">
        <v>0.16850068775790922</v>
      </c>
      <c r="Q30" s="96">
        <v>0.14659596305165926</v>
      </c>
      <c r="R30" s="41">
        <v>0.14209827357237717</v>
      </c>
      <c r="S30" s="41">
        <v>0.15539739027283511</v>
      </c>
      <c r="T30" s="41">
        <v>0.15142150803461063</v>
      </c>
      <c r="U30" s="41"/>
      <c r="V30" s="96">
        <v>0.1498960498960499</v>
      </c>
    </row>
    <row r="31" spans="1:22" s="6" customFormat="1" ht="10.9" customHeight="1" x14ac:dyDescent="0.25">
      <c r="A31" s="16" t="s">
        <v>105</v>
      </c>
      <c r="B31" s="56"/>
      <c r="C31" s="41"/>
      <c r="D31" s="41"/>
      <c r="E31" s="41"/>
      <c r="F31" s="41"/>
      <c r="G31" s="63"/>
      <c r="H31" s="41">
        <v>0.10517387616624257</v>
      </c>
      <c r="I31" s="41">
        <v>8.3576287657920315E-2</v>
      </c>
      <c r="J31" s="41">
        <v>9.7650513950073417E-2</v>
      </c>
      <c r="K31" s="41">
        <v>0.10859427048634245</v>
      </c>
      <c r="L31" s="63">
        <v>9.9783080260303691E-2</v>
      </c>
      <c r="M31" s="41">
        <v>0.10570824524312897</v>
      </c>
      <c r="N31" s="41">
        <v>9.4786729857819899E-2</v>
      </c>
      <c r="O31" s="41">
        <v>0.10427807486631016</v>
      </c>
      <c r="P31" s="41">
        <v>0.10247592847317744</v>
      </c>
      <c r="Q31" s="96">
        <v>0.10177899418405748</v>
      </c>
      <c r="R31" s="41">
        <v>0.10557768924302789</v>
      </c>
      <c r="S31" s="41">
        <v>9.1340450771055751E-2</v>
      </c>
      <c r="T31" s="41">
        <v>8.7762669962917178E-2</v>
      </c>
      <c r="U31" s="41"/>
      <c r="V31" s="96">
        <v>9.45945945945946E-2</v>
      </c>
    </row>
    <row r="32" spans="1:22" s="6" customFormat="1" ht="10.9" customHeight="1" x14ac:dyDescent="0.25">
      <c r="A32" s="16" t="s">
        <v>103</v>
      </c>
      <c r="B32" s="75"/>
      <c r="C32" s="73"/>
      <c r="D32" s="73"/>
      <c r="E32" s="73"/>
      <c r="F32" s="73"/>
      <c r="G32" s="80"/>
      <c r="H32" s="73">
        <v>6.0220525869380828E-2</v>
      </c>
      <c r="I32" s="73">
        <v>4.9562682215743441E-2</v>
      </c>
      <c r="J32" s="73">
        <v>5.5066079295154183E-2</v>
      </c>
      <c r="K32" s="73">
        <v>6.395736175882745E-2</v>
      </c>
      <c r="L32" s="80">
        <v>5.7779530664563206E-2</v>
      </c>
      <c r="M32" s="73">
        <v>6.2015503875968991E-2</v>
      </c>
      <c r="N32" s="73">
        <v>6.025727826675694E-2</v>
      </c>
      <c r="O32" s="73">
        <v>5.8823529411764705E-2</v>
      </c>
      <c r="P32" s="73">
        <v>5.7771664374140302E-2</v>
      </c>
      <c r="Q32" s="97">
        <v>5.9698939445774889E-2</v>
      </c>
      <c r="R32" s="73">
        <v>6.0424966799468793E-2</v>
      </c>
      <c r="S32" s="73">
        <v>4.8042704626334518E-2</v>
      </c>
      <c r="T32" s="73">
        <v>4.4499381953028432E-2</v>
      </c>
      <c r="U32" s="73"/>
      <c r="V32" s="97">
        <v>5.072765072765073E-2</v>
      </c>
    </row>
    <row r="33" spans="1:22" s="6" customFormat="1" ht="10.9" customHeight="1" x14ac:dyDescent="0.25">
      <c r="A33" s="29" t="s">
        <v>64</v>
      </c>
      <c r="B33" s="56">
        <v>0.44934742075823492</v>
      </c>
      <c r="C33" s="41">
        <v>0.453125</v>
      </c>
      <c r="D33" s="41">
        <v>0.43236714975845408</v>
      </c>
      <c r="E33" s="41">
        <v>0.41761827079934749</v>
      </c>
      <c r="F33" s="41">
        <v>0.44095092024539878</v>
      </c>
      <c r="G33" s="63">
        <v>0.43604651162790697</v>
      </c>
      <c r="H33" s="41">
        <v>0.40288379983036471</v>
      </c>
      <c r="I33" s="41">
        <v>0.38678328474246843</v>
      </c>
      <c r="J33" s="41">
        <v>0.41997063142437591</v>
      </c>
      <c r="K33" s="41">
        <v>0.45036642238507663</v>
      </c>
      <c r="L33" s="63">
        <v>0.41826069808716232</v>
      </c>
      <c r="M33" s="41">
        <v>0.42706131078224102</v>
      </c>
      <c r="N33" s="41">
        <v>0.4048747461069736</v>
      </c>
      <c r="O33" s="41">
        <v>0.4217914438502674</v>
      </c>
      <c r="P33" s="41">
        <v>0.43535075653370015</v>
      </c>
      <c r="Q33" s="96">
        <v>0.42216900444748545</v>
      </c>
      <c r="R33" s="41">
        <v>0.4110225763612218</v>
      </c>
      <c r="S33" s="41">
        <v>0.45314353499406879</v>
      </c>
      <c r="T33" s="41">
        <v>0.43695920889987638</v>
      </c>
      <c r="U33" s="41"/>
      <c r="V33" s="96">
        <v>0.43451143451143454</v>
      </c>
    </row>
    <row r="34" spans="1:22" s="6" customFormat="1" ht="10.9" customHeight="1" x14ac:dyDescent="0.25">
      <c r="A34" s="16" t="s">
        <v>66</v>
      </c>
      <c r="B34" s="56">
        <v>0.44478972446654236</v>
      </c>
      <c r="C34" s="41">
        <v>0.44078947368421051</v>
      </c>
      <c r="D34" s="41">
        <v>0.46618357487922707</v>
      </c>
      <c r="E34" s="41">
        <v>0.48123980424143559</v>
      </c>
      <c r="F34" s="41">
        <v>0.45168711656441718</v>
      </c>
      <c r="G34" s="63">
        <v>0.45990376904570968</v>
      </c>
      <c r="H34" s="41">
        <v>0.48854961832061067</v>
      </c>
      <c r="I34" s="41">
        <v>0.51700680272108845</v>
      </c>
      <c r="J34" s="41">
        <v>0.47723935389133626</v>
      </c>
      <c r="K34" s="41">
        <v>0.4457028647568288</v>
      </c>
      <c r="L34" s="63">
        <v>0.47860382567540921</v>
      </c>
      <c r="M34" s="41">
        <v>0.47004933051444681</v>
      </c>
      <c r="N34" s="41">
        <v>0.4949221394719025</v>
      </c>
      <c r="O34" s="41">
        <v>0.48596256684491979</v>
      </c>
      <c r="P34" s="41">
        <v>0.47386519944979366</v>
      </c>
      <c r="Q34" s="96">
        <v>0.48135477249401298</v>
      </c>
      <c r="R34" s="41">
        <v>0.49933598937583001</v>
      </c>
      <c r="S34" s="41">
        <v>0.46915776986951363</v>
      </c>
      <c r="T34" s="41">
        <v>0.48949320148331271</v>
      </c>
      <c r="U34" s="41"/>
      <c r="V34" s="96">
        <v>0.48544698544698545</v>
      </c>
    </row>
    <row r="35" spans="1:22" s="6" customFormat="1" ht="10.9" customHeight="1" x14ac:dyDescent="0.25">
      <c r="A35" s="16" t="s">
        <v>67</v>
      </c>
      <c r="B35" s="56">
        <v>9.44686140459913E-2</v>
      </c>
      <c r="C35" s="41">
        <v>9.4572368421052627E-2</v>
      </c>
      <c r="D35" s="41">
        <v>9.0177133655394523E-2</v>
      </c>
      <c r="E35" s="41">
        <v>8.8907014681892327E-2</v>
      </c>
      <c r="F35" s="41">
        <v>9.4325153374233126E-2</v>
      </c>
      <c r="G35" s="63">
        <v>9.2020850040096233E-2</v>
      </c>
      <c r="H35" s="41">
        <v>9.6692111959287536E-2</v>
      </c>
      <c r="I35" s="41">
        <v>9.23226433430515E-2</v>
      </c>
      <c r="J35" s="41">
        <v>9.4713656387665199E-2</v>
      </c>
      <c r="K35" s="41">
        <v>9.4603597601598935E-2</v>
      </c>
      <c r="L35" s="63">
        <v>9.4655886412936305E-2</v>
      </c>
      <c r="M35" s="41">
        <v>9.4432699083861871E-2</v>
      </c>
      <c r="N35" s="41">
        <v>9.4786729857819899E-2</v>
      </c>
      <c r="O35" s="41">
        <v>8.5561497326203204E-2</v>
      </c>
      <c r="P35" s="41">
        <v>8.3218707015130677E-2</v>
      </c>
      <c r="Q35" s="96">
        <v>8.9462880602121111E-2</v>
      </c>
      <c r="R35" s="41">
        <v>8.3665338645418322E-2</v>
      </c>
      <c r="S35" s="41">
        <v>7.2953736654804271E-2</v>
      </c>
      <c r="T35" s="41">
        <v>6.8603213844252164E-2</v>
      </c>
      <c r="U35" s="41"/>
      <c r="V35" s="96">
        <v>7.4844074844074848E-2</v>
      </c>
    </row>
    <row r="36" spans="1:22" s="6" customFormat="1" ht="10.9" customHeight="1" x14ac:dyDescent="0.25">
      <c r="A36" s="16" t="s">
        <v>68</v>
      </c>
      <c r="B36" s="75">
        <v>1.1394240729231406E-2</v>
      </c>
      <c r="C36" s="73">
        <v>1.1513157894736841E-2</v>
      </c>
      <c r="D36" s="73">
        <v>1.1272141706924315E-2</v>
      </c>
      <c r="E36" s="73">
        <v>1.2234910277324634E-2</v>
      </c>
      <c r="F36" s="73">
        <v>1.303680981595092E-2</v>
      </c>
      <c r="G36" s="80">
        <v>1.2028869286287089E-2</v>
      </c>
      <c r="H36" s="73">
        <v>1.1874469889737066E-2</v>
      </c>
      <c r="I36" s="73">
        <v>3.8872691933916422E-3</v>
      </c>
      <c r="J36" s="73">
        <v>8.0763582966226141E-3</v>
      </c>
      <c r="K36" s="73">
        <v>9.3271152564956689E-3</v>
      </c>
      <c r="L36" s="80">
        <v>8.4795898244922098E-3</v>
      </c>
      <c r="M36" s="73">
        <v>8.4566596194503175E-3</v>
      </c>
      <c r="N36" s="73">
        <v>5.4163845633039944E-3</v>
      </c>
      <c r="O36" s="73">
        <v>6.6844919786096255E-3</v>
      </c>
      <c r="P36" s="73">
        <v>7.5653370013755161E-3</v>
      </c>
      <c r="Q36" s="97">
        <v>7.0133424563804314E-3</v>
      </c>
      <c r="R36" s="73">
        <v>5.9760956175298804E-3</v>
      </c>
      <c r="S36" s="73">
        <v>4.7449584816132862E-3</v>
      </c>
      <c r="T36" s="73">
        <v>4.944375772558714E-3</v>
      </c>
      <c r="U36" s="73"/>
      <c r="V36" s="97">
        <v>5.1975051975051978E-3</v>
      </c>
    </row>
    <row r="37" spans="1:22" s="6" customFormat="1" ht="10.9" customHeight="1" x14ac:dyDescent="0.25">
      <c r="A37" s="29" t="s">
        <v>62</v>
      </c>
      <c r="B37" s="56">
        <v>0.55065257924176503</v>
      </c>
      <c r="C37" s="41">
        <v>0.546875</v>
      </c>
      <c r="D37" s="41">
        <v>0.56763285024154586</v>
      </c>
      <c r="E37" s="41">
        <v>0.58238172920065256</v>
      </c>
      <c r="F37" s="41">
        <v>0.55904907975460127</v>
      </c>
      <c r="G37" s="63">
        <v>0.56395348837209303</v>
      </c>
      <c r="H37" s="41">
        <v>0.59711620016963529</v>
      </c>
      <c r="I37" s="41">
        <v>0.61321671525753163</v>
      </c>
      <c r="J37" s="41">
        <v>0.58002936857562404</v>
      </c>
      <c r="K37" s="41">
        <v>0.54963357761492337</v>
      </c>
      <c r="L37" s="63">
        <v>0.58173930191283774</v>
      </c>
      <c r="M37" s="41">
        <v>0.57293868921775903</v>
      </c>
      <c r="N37" s="41">
        <v>0.5951252538930264</v>
      </c>
      <c r="O37" s="41">
        <v>0.57820855614973266</v>
      </c>
      <c r="P37" s="41">
        <v>0.56464924346629985</v>
      </c>
      <c r="Q37" s="96">
        <v>0.57783099555251449</v>
      </c>
      <c r="R37" s="41">
        <v>0.58897742363877825</v>
      </c>
      <c r="S37" s="41">
        <v>0.54685646500593121</v>
      </c>
      <c r="T37" s="41">
        <v>0.56304079110012362</v>
      </c>
      <c r="U37" s="41"/>
      <c r="V37" s="96">
        <v>0.56548856548856552</v>
      </c>
    </row>
    <row r="38" spans="1:22" s="6" customFormat="1" ht="10.9" customHeight="1" x14ac:dyDescent="0.25">
      <c r="A38" s="16" t="s">
        <v>4</v>
      </c>
      <c r="B38" s="56">
        <v>1</v>
      </c>
      <c r="C38" s="41">
        <v>1</v>
      </c>
      <c r="D38" s="41">
        <v>1</v>
      </c>
      <c r="E38" s="41">
        <v>1</v>
      </c>
      <c r="F38" s="41">
        <v>1</v>
      </c>
      <c r="G38" s="63">
        <v>1</v>
      </c>
      <c r="H38" s="41">
        <v>1</v>
      </c>
      <c r="I38" s="41">
        <v>1</v>
      </c>
      <c r="J38" s="41">
        <v>1</v>
      </c>
      <c r="K38" s="41">
        <v>1</v>
      </c>
      <c r="L38" s="63">
        <v>1</v>
      </c>
      <c r="M38" s="41">
        <v>1</v>
      </c>
      <c r="N38" s="41">
        <v>1</v>
      </c>
      <c r="O38" s="41">
        <v>1</v>
      </c>
      <c r="P38" s="41">
        <v>1</v>
      </c>
      <c r="Q38" s="96">
        <v>1</v>
      </c>
      <c r="R38" s="41">
        <v>1</v>
      </c>
      <c r="S38" s="41">
        <v>1</v>
      </c>
      <c r="T38" s="41">
        <v>1</v>
      </c>
      <c r="U38" s="41"/>
      <c r="V38" s="96">
        <v>1</v>
      </c>
    </row>
    <row r="39" spans="1:22" s="6" customFormat="1" ht="10.9" customHeight="1" x14ac:dyDescent="0.25">
      <c r="A39" s="29"/>
      <c r="B39" s="52"/>
      <c r="C39" s="15"/>
      <c r="D39" s="15"/>
      <c r="E39" s="15"/>
      <c r="F39" s="15"/>
      <c r="G39" s="52"/>
      <c r="H39" s="15"/>
      <c r="I39" s="15"/>
      <c r="J39" s="15"/>
      <c r="K39" s="15"/>
      <c r="L39" s="52"/>
      <c r="M39" s="15"/>
      <c r="N39" s="15"/>
      <c r="O39" s="15"/>
      <c r="P39" s="15"/>
      <c r="Q39" s="52"/>
      <c r="R39" s="15"/>
      <c r="S39" s="15"/>
      <c r="T39" s="15"/>
      <c r="U39" s="15"/>
      <c r="V39" s="52"/>
    </row>
    <row r="40" spans="1:22" s="79" customFormat="1" ht="10.9" customHeight="1" x14ac:dyDescent="0.25">
      <c r="A40" s="36" t="s">
        <v>90</v>
      </c>
      <c r="B40" s="63"/>
      <c r="C40" s="76"/>
      <c r="D40" s="76"/>
      <c r="E40" s="76"/>
      <c r="F40" s="76"/>
      <c r="G40" s="63"/>
      <c r="H40" s="76"/>
      <c r="I40" s="76"/>
      <c r="J40" s="76"/>
      <c r="K40" s="76"/>
      <c r="L40" s="63"/>
      <c r="M40" s="76"/>
      <c r="N40" s="76"/>
      <c r="O40" s="76"/>
      <c r="P40" s="76"/>
      <c r="Q40" s="63"/>
      <c r="R40" s="76"/>
      <c r="S40" s="76"/>
      <c r="T40" s="76"/>
      <c r="U40" s="76"/>
      <c r="V40" s="63"/>
    </row>
    <row r="41" spans="1:22" s="79" customFormat="1" ht="10.9" customHeight="1" x14ac:dyDescent="0.25">
      <c r="A41" s="12" t="s">
        <v>64</v>
      </c>
      <c r="B41" s="49">
        <v>964</v>
      </c>
      <c r="C41" s="11">
        <v>215</v>
      </c>
      <c r="D41" s="11">
        <v>202</v>
      </c>
      <c r="E41" s="11">
        <v>192</v>
      </c>
      <c r="F41" s="11">
        <v>198</v>
      </c>
      <c r="G41" s="49">
        <v>807</v>
      </c>
      <c r="H41" s="11">
        <v>165</v>
      </c>
      <c r="I41" s="11">
        <v>139</v>
      </c>
      <c r="J41" s="11">
        <v>246</v>
      </c>
      <c r="K41" s="11">
        <v>288</v>
      </c>
      <c r="L41" s="49">
        <v>838</v>
      </c>
      <c r="M41" s="11">
        <v>236</v>
      </c>
      <c r="N41" s="11">
        <v>235</v>
      </c>
      <c r="O41" s="11">
        <v>262</v>
      </c>
      <c r="P41" s="11">
        <v>244</v>
      </c>
      <c r="Q41" s="49">
        <v>977</v>
      </c>
      <c r="R41" s="11">
        <v>269</v>
      </c>
      <c r="S41" s="11">
        <v>285</v>
      </c>
      <c r="T41" s="11">
        <v>256</v>
      </c>
      <c r="U41" s="11"/>
      <c r="V41" s="49">
        <v>810</v>
      </c>
    </row>
    <row r="42" spans="1:22" s="79" customFormat="1" ht="10.9" customHeight="1" x14ac:dyDescent="0.25">
      <c r="A42" s="12" t="s">
        <v>62</v>
      </c>
      <c r="B42" s="88">
        <v>476</v>
      </c>
      <c r="C42" s="15">
        <v>122</v>
      </c>
      <c r="D42" s="15">
        <v>127</v>
      </c>
      <c r="E42" s="15">
        <v>125</v>
      </c>
      <c r="F42" s="15">
        <v>128</v>
      </c>
      <c r="G42" s="52">
        <v>502</v>
      </c>
      <c r="H42" s="15">
        <v>127</v>
      </c>
      <c r="I42" s="15">
        <v>103</v>
      </c>
      <c r="J42" s="15">
        <v>131</v>
      </c>
      <c r="K42" s="15">
        <v>144</v>
      </c>
      <c r="L42" s="52">
        <v>505</v>
      </c>
      <c r="M42" s="15">
        <v>141</v>
      </c>
      <c r="N42" s="15">
        <v>153</v>
      </c>
      <c r="O42" s="15">
        <v>161</v>
      </c>
      <c r="P42" s="15">
        <v>158</v>
      </c>
      <c r="Q42" s="52">
        <v>613</v>
      </c>
      <c r="R42" s="15">
        <v>170</v>
      </c>
      <c r="S42" s="15">
        <v>184</v>
      </c>
      <c r="T42" s="15">
        <v>176</v>
      </c>
      <c r="U42" s="15"/>
      <c r="V42" s="52">
        <v>530</v>
      </c>
    </row>
    <row r="43" spans="1:22" s="79" customFormat="1" ht="10.9" customHeight="1" x14ac:dyDescent="0.25">
      <c r="A43" s="12" t="s">
        <v>63</v>
      </c>
      <c r="B43" s="88">
        <v>-5</v>
      </c>
      <c r="C43" s="15">
        <v>-1</v>
      </c>
      <c r="D43" s="15">
        <v>-1</v>
      </c>
      <c r="E43" s="15">
        <v>-3</v>
      </c>
      <c r="F43" s="15">
        <v>-3</v>
      </c>
      <c r="G43" s="52">
        <v>-8</v>
      </c>
      <c r="H43" s="15">
        <v>-3</v>
      </c>
      <c r="I43" s="15">
        <v>0</v>
      </c>
      <c r="J43" s="15">
        <v>-2</v>
      </c>
      <c r="K43" s="15">
        <v>-4</v>
      </c>
      <c r="L43" s="52">
        <v>-9</v>
      </c>
      <c r="M43" s="15">
        <v>-2</v>
      </c>
      <c r="N43" s="15">
        <v>-2</v>
      </c>
      <c r="O43" s="15">
        <v>-2</v>
      </c>
      <c r="P43" s="15">
        <v>-1</v>
      </c>
      <c r="Q43" s="52">
        <v>-7</v>
      </c>
      <c r="R43" s="15">
        <v>-1</v>
      </c>
      <c r="S43" s="15">
        <v>-2</v>
      </c>
      <c r="T43" s="15">
        <v>-2</v>
      </c>
      <c r="U43" s="15"/>
      <c r="V43" s="52">
        <v>-5</v>
      </c>
    </row>
    <row r="44" spans="1:22" s="79" customFormat="1" ht="10.9" customHeight="1" x14ac:dyDescent="0.25">
      <c r="A44" s="12" t="s">
        <v>92</v>
      </c>
      <c r="B44" s="61">
        <v>1435</v>
      </c>
      <c r="C44" s="35">
        <v>336</v>
      </c>
      <c r="D44" s="35">
        <v>328</v>
      </c>
      <c r="E44" s="35">
        <v>314</v>
      </c>
      <c r="F44" s="35">
        <v>323</v>
      </c>
      <c r="G44" s="61">
        <v>1301</v>
      </c>
      <c r="H44" s="35">
        <v>289</v>
      </c>
      <c r="I44" s="35">
        <v>242</v>
      </c>
      <c r="J44" s="35">
        <v>375</v>
      </c>
      <c r="K44" s="35">
        <v>428</v>
      </c>
      <c r="L44" s="61">
        <v>1334</v>
      </c>
      <c r="M44" s="35">
        <v>375</v>
      </c>
      <c r="N44" s="35">
        <v>386</v>
      </c>
      <c r="O44" s="35">
        <v>421</v>
      </c>
      <c r="P44" s="35">
        <v>401</v>
      </c>
      <c r="Q44" s="61">
        <v>1583</v>
      </c>
      <c r="R44" s="35">
        <v>438</v>
      </c>
      <c r="S44" s="35">
        <v>467</v>
      </c>
      <c r="T44" s="35">
        <v>430</v>
      </c>
      <c r="U44" s="35"/>
      <c r="V44" s="61">
        <v>1335</v>
      </c>
    </row>
    <row r="45" spans="1:22" s="79" customFormat="1" ht="10.9" customHeight="1" x14ac:dyDescent="0.25">
      <c r="A45" s="77"/>
      <c r="B45" s="63"/>
      <c r="C45" s="76"/>
      <c r="D45" s="76"/>
      <c r="E45" s="76"/>
      <c r="F45" s="76"/>
      <c r="G45" s="63"/>
      <c r="H45" s="76"/>
      <c r="I45" s="76"/>
      <c r="J45" s="76"/>
      <c r="K45" s="76"/>
      <c r="L45" s="63"/>
      <c r="M45" s="76"/>
      <c r="N45" s="76"/>
      <c r="O45" s="76"/>
      <c r="P45" s="76"/>
      <c r="Q45" s="63"/>
      <c r="R45" s="76"/>
      <c r="S45" s="76"/>
      <c r="T45" s="76"/>
      <c r="U45" s="76"/>
      <c r="V45" s="63"/>
    </row>
    <row r="46" spans="1:22" s="79" customFormat="1" ht="10.9" customHeight="1" x14ac:dyDescent="0.25">
      <c r="A46" s="36" t="s">
        <v>91</v>
      </c>
      <c r="B46" s="63"/>
      <c r="C46" s="76"/>
      <c r="D46" s="76"/>
      <c r="E46" s="76"/>
      <c r="F46" s="76"/>
      <c r="G46" s="63"/>
      <c r="H46" s="76"/>
      <c r="I46" s="76"/>
      <c r="J46" s="76"/>
      <c r="K46" s="76"/>
      <c r="L46" s="63"/>
      <c r="M46" s="76"/>
      <c r="N46" s="76"/>
      <c r="O46" s="76"/>
      <c r="P46" s="76"/>
      <c r="Q46" s="63"/>
      <c r="R46" s="76"/>
      <c r="S46" s="76"/>
      <c r="T46" s="76"/>
      <c r="U46" s="76"/>
      <c r="V46" s="63"/>
    </row>
    <row r="47" spans="1:22" s="79" customFormat="1" ht="10.9" customHeight="1" x14ac:dyDescent="0.25">
      <c r="A47" s="12" t="s">
        <v>64</v>
      </c>
      <c r="B47" s="63">
        <v>0.44444444444444442</v>
      </c>
      <c r="C47" s="76">
        <v>0.39019963702359345</v>
      </c>
      <c r="D47" s="76">
        <v>0.37616387337057727</v>
      </c>
      <c r="E47" s="76">
        <v>0.375</v>
      </c>
      <c r="F47" s="76">
        <v>0.34434782608695652</v>
      </c>
      <c r="G47" s="63">
        <v>0.37103448275862067</v>
      </c>
      <c r="H47" s="76">
        <v>0.3473684210526316</v>
      </c>
      <c r="I47" s="76">
        <v>0.34924623115577891</v>
      </c>
      <c r="J47" s="76">
        <v>0.43006993006993005</v>
      </c>
      <c r="K47" s="76">
        <v>0.42603550295857989</v>
      </c>
      <c r="L47" s="63">
        <v>0.39509665252239512</v>
      </c>
      <c r="M47" s="76">
        <v>0.38943894389438943</v>
      </c>
      <c r="N47" s="76">
        <v>0.39297658862876256</v>
      </c>
      <c r="O47" s="76">
        <v>0.41521394611727419</v>
      </c>
      <c r="P47" s="76">
        <v>0.3854660347551343</v>
      </c>
      <c r="Q47" s="63">
        <v>0.39586709886547811</v>
      </c>
      <c r="R47" s="76">
        <v>0.43457189014539582</v>
      </c>
      <c r="S47" s="76">
        <v>0.37303664921465968</v>
      </c>
      <c r="T47" s="76">
        <v>0.36209335219236211</v>
      </c>
      <c r="U47" s="76"/>
      <c r="V47" s="63">
        <v>0.38755980861244022</v>
      </c>
    </row>
    <row r="48" spans="1:22" s="79" customFormat="1" ht="10.9" customHeight="1" x14ac:dyDescent="0.25">
      <c r="A48" s="12" t="s">
        <v>62</v>
      </c>
      <c r="B48" s="63">
        <v>0.17908201655379985</v>
      </c>
      <c r="C48" s="76">
        <v>0.18345864661654135</v>
      </c>
      <c r="D48" s="76">
        <v>0.18014184397163122</v>
      </c>
      <c r="E48" s="76">
        <v>0.17507002801120447</v>
      </c>
      <c r="F48" s="76">
        <v>0.1755829903978052</v>
      </c>
      <c r="G48" s="63">
        <v>0.17845716317099183</v>
      </c>
      <c r="H48" s="76">
        <v>0.18039772727272727</v>
      </c>
      <c r="I48" s="76">
        <v>0.16323296354992076</v>
      </c>
      <c r="J48" s="76">
        <v>0.16582278481012658</v>
      </c>
      <c r="K48" s="76">
        <v>0.17454545454545456</v>
      </c>
      <c r="L48" s="63">
        <v>0.1711864406779661</v>
      </c>
      <c r="M48" s="76">
        <v>0.17343173431734318</v>
      </c>
      <c r="N48" s="76">
        <v>0.17406143344709898</v>
      </c>
      <c r="O48" s="76">
        <v>0.18612716763005779</v>
      </c>
      <c r="P48" s="98">
        <v>0.19244823386114496</v>
      </c>
      <c r="Q48" s="63">
        <v>0.18146832445233865</v>
      </c>
      <c r="R48" s="76">
        <v>0.19165727170236754</v>
      </c>
      <c r="S48" s="76">
        <v>0.19956616052060738</v>
      </c>
      <c r="T48" s="76">
        <v>0.19319429198682767</v>
      </c>
      <c r="U48" s="98"/>
      <c r="V48" s="63">
        <v>0.19485294117647059</v>
      </c>
    </row>
    <row r="49" spans="1:22" s="6" customFormat="1" ht="10.9" customHeight="1" x14ac:dyDescent="0.25">
      <c r="A49" s="12" t="s">
        <v>94</v>
      </c>
      <c r="B49" s="64">
        <v>0.29728609902631031</v>
      </c>
      <c r="C49" s="87">
        <v>0.27631578947368424</v>
      </c>
      <c r="D49" s="78">
        <v>0.2640901771336554</v>
      </c>
      <c r="E49" s="78">
        <v>0.2561174551386623</v>
      </c>
      <c r="F49" s="78">
        <v>0.2476993865030675</v>
      </c>
      <c r="G49" s="64">
        <v>0.26082598235765836</v>
      </c>
      <c r="H49" s="78">
        <v>0.24512298558100085</v>
      </c>
      <c r="I49" s="78">
        <v>0.23517978620019436</v>
      </c>
      <c r="J49" s="78">
        <v>0.2753303964757709</v>
      </c>
      <c r="K49" s="78">
        <v>0.28514323784143902</v>
      </c>
      <c r="L49" s="64">
        <v>0.26306448432261881</v>
      </c>
      <c r="M49" s="78">
        <v>0.26427061310782241</v>
      </c>
      <c r="N49" s="78">
        <v>0.26134055517941773</v>
      </c>
      <c r="O49" s="78">
        <v>0.28141711229946526</v>
      </c>
      <c r="P49" s="78">
        <v>0.27579092159559837</v>
      </c>
      <c r="Q49" s="64">
        <v>0.27078344166951762</v>
      </c>
      <c r="R49" s="78">
        <v>0.2908366533864542</v>
      </c>
      <c r="S49" s="78">
        <v>0.27698695136417556</v>
      </c>
      <c r="T49" s="78">
        <v>0.2657601977750309</v>
      </c>
      <c r="U49" s="78"/>
      <c r="V49" s="64">
        <v>0.27754677754677753</v>
      </c>
    </row>
    <row r="50" spans="1:22" s="6" customFormat="1" ht="10.9" customHeight="1" x14ac:dyDescent="0.25">
      <c r="A50" s="29"/>
      <c r="B50" s="52"/>
      <c r="C50" s="15"/>
      <c r="D50" s="15"/>
      <c r="E50" s="15"/>
      <c r="F50" s="15"/>
      <c r="G50" s="52"/>
      <c r="H50" s="15"/>
      <c r="I50" s="15"/>
      <c r="J50" s="15"/>
      <c r="K50" s="15"/>
      <c r="L50" s="52"/>
      <c r="M50" s="15"/>
      <c r="N50" s="15"/>
      <c r="O50" s="15"/>
      <c r="P50" s="15"/>
      <c r="Q50" s="52"/>
      <c r="R50" s="15"/>
      <c r="S50" s="15"/>
      <c r="T50" s="15"/>
      <c r="U50" s="15"/>
      <c r="V50" s="52"/>
    </row>
    <row r="51" spans="1:22" s="6" customFormat="1" ht="10.9" customHeight="1" x14ac:dyDescent="0.25">
      <c r="A51" s="40" t="s">
        <v>114</v>
      </c>
      <c r="B51" s="52"/>
      <c r="C51" s="15"/>
      <c r="D51" s="15"/>
      <c r="E51" s="15"/>
      <c r="F51" s="15"/>
      <c r="G51" s="52"/>
      <c r="H51" s="15"/>
      <c r="I51" s="15"/>
      <c r="J51" s="15"/>
      <c r="K51" s="15"/>
      <c r="L51" s="52"/>
      <c r="M51" s="15"/>
      <c r="O51" s="15"/>
      <c r="P51" s="15"/>
      <c r="Q51" s="52"/>
      <c r="R51" s="15"/>
      <c r="T51" s="15"/>
      <c r="U51" s="15"/>
      <c r="V51" s="52"/>
    </row>
    <row r="52" spans="1:22" s="6" customFormat="1" ht="10.9" customHeight="1" x14ac:dyDescent="0.25">
      <c r="A52" s="12" t="s">
        <v>64</v>
      </c>
      <c r="B52" s="49">
        <v>591</v>
      </c>
      <c r="C52" s="11">
        <v>104</v>
      </c>
      <c r="D52" s="11">
        <v>63</v>
      </c>
      <c r="E52" s="11">
        <v>76</v>
      </c>
      <c r="F52" s="11">
        <v>84</v>
      </c>
      <c r="G52" s="49">
        <v>327</v>
      </c>
      <c r="H52" s="11">
        <v>58</v>
      </c>
      <c r="I52" s="11">
        <v>42</v>
      </c>
      <c r="J52" s="11">
        <v>141</v>
      </c>
      <c r="K52" s="11">
        <v>166</v>
      </c>
      <c r="L52" s="49">
        <v>407</v>
      </c>
      <c r="M52" s="11">
        <v>130</v>
      </c>
      <c r="N52" s="11">
        <v>129</v>
      </c>
      <c r="O52" s="11">
        <v>157</v>
      </c>
      <c r="P52" s="11">
        <v>125</v>
      </c>
      <c r="Q52" s="49">
        <v>541</v>
      </c>
      <c r="R52" s="11">
        <v>153</v>
      </c>
      <c r="S52" s="11">
        <v>154</v>
      </c>
      <c r="T52" s="11">
        <v>124</v>
      </c>
      <c r="U52" s="11"/>
      <c r="V52" s="49">
        <v>431</v>
      </c>
    </row>
    <row r="53" spans="1:22" s="6" customFormat="1" ht="10.9" customHeight="1" x14ac:dyDescent="0.25">
      <c r="A53" s="12" t="s">
        <v>62</v>
      </c>
      <c r="B53" s="52">
        <v>205</v>
      </c>
      <c r="C53" s="15">
        <v>54</v>
      </c>
      <c r="D53" s="15">
        <v>52</v>
      </c>
      <c r="E53" s="15">
        <v>52</v>
      </c>
      <c r="F53" s="11">
        <v>52</v>
      </c>
      <c r="G53" s="52">
        <v>210</v>
      </c>
      <c r="H53" s="15">
        <v>48</v>
      </c>
      <c r="I53" s="15">
        <v>31</v>
      </c>
      <c r="J53" s="15">
        <v>56</v>
      </c>
      <c r="K53" s="15">
        <v>59</v>
      </c>
      <c r="L53" s="52">
        <v>194</v>
      </c>
      <c r="M53" s="15">
        <v>59</v>
      </c>
      <c r="N53" s="15">
        <v>66</v>
      </c>
      <c r="O53" s="15">
        <v>73</v>
      </c>
      <c r="P53" s="15">
        <v>70</v>
      </c>
      <c r="Q53" s="52">
        <v>268</v>
      </c>
      <c r="R53" s="15">
        <v>80</v>
      </c>
      <c r="S53" s="15">
        <v>86</v>
      </c>
      <c r="T53" s="15">
        <v>78</v>
      </c>
      <c r="U53" s="15"/>
      <c r="V53" s="52">
        <v>244</v>
      </c>
    </row>
    <row r="54" spans="1:22" s="6" customFormat="1" ht="10.9" customHeight="1" x14ac:dyDescent="0.25">
      <c r="A54" s="12" t="s">
        <v>63</v>
      </c>
      <c r="B54" s="50">
        <v>-303</v>
      </c>
      <c r="C54" s="15">
        <v>-73</v>
      </c>
      <c r="D54" s="15">
        <v>-73</v>
      </c>
      <c r="E54" s="15">
        <v>-69</v>
      </c>
      <c r="F54" s="11">
        <v>-64</v>
      </c>
      <c r="G54" s="52">
        <v>-279</v>
      </c>
      <c r="H54" s="15">
        <v>-72</v>
      </c>
      <c r="I54" s="15">
        <v>-79</v>
      </c>
      <c r="J54" s="15">
        <v>-66</v>
      </c>
      <c r="K54" s="15">
        <v>-73</v>
      </c>
      <c r="L54" s="52">
        <v>-290</v>
      </c>
      <c r="M54" s="13">
        <v>-59</v>
      </c>
      <c r="N54" s="15">
        <v>-74</v>
      </c>
      <c r="O54" s="13">
        <v>-63</v>
      </c>
      <c r="P54" s="13">
        <v>-54</v>
      </c>
      <c r="Q54" s="52">
        <v>-250</v>
      </c>
      <c r="R54" s="13">
        <v>-61</v>
      </c>
      <c r="S54" s="13">
        <v>-54</v>
      </c>
      <c r="T54" s="13">
        <v>-47</v>
      </c>
      <c r="U54" s="13"/>
      <c r="V54" s="52">
        <v>-162</v>
      </c>
    </row>
    <row r="55" spans="1:22" s="6" customFormat="1" ht="10.9" customHeight="1" x14ac:dyDescent="0.25">
      <c r="A55" s="12" t="s">
        <v>116</v>
      </c>
      <c r="B55" s="61">
        <v>493</v>
      </c>
      <c r="C55" s="35">
        <v>85</v>
      </c>
      <c r="D55" s="35">
        <v>42</v>
      </c>
      <c r="E55" s="35">
        <v>59</v>
      </c>
      <c r="F55" s="35">
        <v>72</v>
      </c>
      <c r="G55" s="61">
        <v>258</v>
      </c>
      <c r="H55" s="35">
        <v>34</v>
      </c>
      <c r="I55" s="35">
        <v>-6</v>
      </c>
      <c r="J55" s="35">
        <v>131</v>
      </c>
      <c r="K55" s="35">
        <v>152</v>
      </c>
      <c r="L55" s="61">
        <v>311</v>
      </c>
      <c r="M55" s="35">
        <v>130</v>
      </c>
      <c r="N55" s="35">
        <v>121</v>
      </c>
      <c r="O55" s="35">
        <v>167</v>
      </c>
      <c r="P55" s="35">
        <v>141</v>
      </c>
      <c r="Q55" s="61">
        <v>559</v>
      </c>
      <c r="R55" s="35">
        <v>172</v>
      </c>
      <c r="S55" s="35">
        <v>186</v>
      </c>
      <c r="T55" s="35">
        <v>155</v>
      </c>
      <c r="U55" s="35"/>
      <c r="V55" s="61">
        <v>513</v>
      </c>
    </row>
    <row r="56" spans="1:22" s="6" customFormat="1" ht="10.9" customHeight="1" x14ac:dyDescent="0.25">
      <c r="A56" s="12"/>
      <c r="B56" s="52"/>
      <c r="C56" s="15"/>
      <c r="D56" s="15"/>
      <c r="E56" s="15"/>
      <c r="F56" s="15"/>
      <c r="G56" s="52"/>
      <c r="H56" s="15"/>
      <c r="I56" s="15"/>
      <c r="J56" s="15"/>
      <c r="K56" s="15"/>
      <c r="L56" s="52"/>
      <c r="M56" s="15"/>
      <c r="N56" s="15"/>
      <c r="O56" s="15"/>
      <c r="P56" s="15"/>
      <c r="Q56" s="52"/>
      <c r="R56" s="15"/>
      <c r="S56" s="15"/>
      <c r="T56" s="15"/>
      <c r="U56" s="15"/>
      <c r="V56" s="52"/>
    </row>
    <row r="57" spans="1:22" s="6" customFormat="1" ht="10.9" customHeight="1" x14ac:dyDescent="0.25">
      <c r="A57" s="40" t="s">
        <v>115</v>
      </c>
      <c r="B57" s="52"/>
      <c r="C57" s="15"/>
      <c r="D57" s="15"/>
      <c r="E57" s="15"/>
      <c r="F57" s="15"/>
      <c r="G57" s="52"/>
      <c r="H57" s="15"/>
      <c r="I57" s="15"/>
      <c r="J57" s="15"/>
      <c r="K57" s="15"/>
      <c r="L57" s="52"/>
      <c r="M57" s="15"/>
      <c r="N57" s="15"/>
      <c r="O57" s="15"/>
      <c r="P57" s="15"/>
      <c r="Q57" s="52"/>
      <c r="R57" s="15"/>
      <c r="S57" s="15"/>
      <c r="T57" s="15"/>
      <c r="U57" s="15"/>
      <c r="V57" s="52"/>
    </row>
    <row r="58" spans="1:22" s="6" customFormat="1" ht="10.9" customHeight="1" x14ac:dyDescent="0.25">
      <c r="A58" s="12" t="s">
        <v>64</v>
      </c>
      <c r="B58" s="63">
        <v>1.1987829614604462</v>
      </c>
      <c r="C58" s="76">
        <v>1.223529411764706</v>
      </c>
      <c r="D58" s="76">
        <v>1.5</v>
      </c>
      <c r="E58" s="76">
        <v>1.2881355932203389</v>
      </c>
      <c r="F58" s="76">
        <v>1.1666666666666667</v>
      </c>
      <c r="G58" s="63">
        <v>1.2674418604651163</v>
      </c>
      <c r="H58" s="76">
        <v>1.7058823529411764</v>
      </c>
      <c r="I58" s="76">
        <v>-7</v>
      </c>
      <c r="J58" s="76">
        <v>1.0763358778625953</v>
      </c>
      <c r="K58" s="76">
        <v>1.0921052631578947</v>
      </c>
      <c r="L58" s="63">
        <v>1.3086816720257235</v>
      </c>
      <c r="M58" s="76">
        <v>1</v>
      </c>
      <c r="N58" s="76">
        <v>1.0661157024793388</v>
      </c>
      <c r="O58" s="76">
        <v>0.94011976047904189</v>
      </c>
      <c r="P58" s="76">
        <v>0.88652482269503541</v>
      </c>
      <c r="Q58" s="63">
        <v>0.96779964221824688</v>
      </c>
      <c r="R58" s="76">
        <v>0.88953488372093026</v>
      </c>
      <c r="S58" s="76">
        <v>0.82795698924731187</v>
      </c>
      <c r="T58" s="76">
        <v>0.8</v>
      </c>
      <c r="U58" s="76"/>
      <c r="V58" s="63">
        <v>0.84015594541910332</v>
      </c>
    </row>
    <row r="59" spans="1:22" s="6" customFormat="1" ht="10.9" customHeight="1" x14ac:dyDescent="0.25">
      <c r="A59" s="12" t="s">
        <v>62</v>
      </c>
      <c r="B59" s="63">
        <v>0.41582150101419879</v>
      </c>
      <c r="C59" s="76">
        <v>0.63529411764705879</v>
      </c>
      <c r="D59" s="76">
        <v>1.2380952380952381</v>
      </c>
      <c r="E59" s="76">
        <v>0.88135593220338981</v>
      </c>
      <c r="F59" s="76">
        <v>0.72222222222222221</v>
      </c>
      <c r="G59" s="63">
        <v>0.81395348837209303</v>
      </c>
      <c r="H59" s="76">
        <v>1.411764705882353</v>
      </c>
      <c r="I59" s="76">
        <v>-5.166666666666667</v>
      </c>
      <c r="J59" s="76">
        <v>0.42748091603053434</v>
      </c>
      <c r="K59" s="76">
        <v>0.38815789473684209</v>
      </c>
      <c r="L59" s="63">
        <v>0.6237942122186495</v>
      </c>
      <c r="M59" s="76">
        <v>0.45384615384615384</v>
      </c>
      <c r="N59" s="76">
        <v>0.54545454545454541</v>
      </c>
      <c r="O59" s="76">
        <v>0.43712574850299402</v>
      </c>
      <c r="P59" s="76">
        <v>0.49645390070921985</v>
      </c>
      <c r="Q59" s="63">
        <v>0.47942754919499103</v>
      </c>
      <c r="R59" s="76">
        <v>0.46511627906976744</v>
      </c>
      <c r="S59" s="76">
        <v>0.46236559139784944</v>
      </c>
      <c r="T59" s="76">
        <v>0.50322580645161286</v>
      </c>
      <c r="U59" s="76"/>
      <c r="V59" s="63">
        <v>0.47563352826510719</v>
      </c>
    </row>
    <row r="60" spans="1:22" s="6" customFormat="1" ht="10.9" customHeight="1" x14ac:dyDescent="0.25">
      <c r="A60" s="12" t="s">
        <v>63</v>
      </c>
      <c r="B60" s="103">
        <v>-0.61460446247464506</v>
      </c>
      <c r="C60" s="104">
        <v>-0.85882352941176465</v>
      </c>
      <c r="D60" s="104">
        <v>-1.7380952380952381</v>
      </c>
      <c r="E60" s="104">
        <v>-1.1694915254237288</v>
      </c>
      <c r="F60" s="104">
        <v>-0.88888888888888884</v>
      </c>
      <c r="G60" s="103">
        <v>-1.0813953488372092</v>
      </c>
      <c r="H60" s="104">
        <v>-2.1176470588235294</v>
      </c>
      <c r="I60" s="104">
        <v>13.166666666666666</v>
      </c>
      <c r="J60" s="104">
        <v>-0.50381679389312972</v>
      </c>
      <c r="K60" s="104">
        <v>-0.48026315789473684</v>
      </c>
      <c r="L60" s="103">
        <v>-0.932475884244373</v>
      </c>
      <c r="M60" s="104">
        <v>-0.45384615384615384</v>
      </c>
      <c r="N60" s="104">
        <v>-0.61157024793388426</v>
      </c>
      <c r="O60" s="104">
        <v>-0.3772455089820359</v>
      </c>
      <c r="P60" s="104">
        <v>-0.38297872340425532</v>
      </c>
      <c r="Q60" s="103">
        <v>-0.44722719141323791</v>
      </c>
      <c r="R60" s="104">
        <v>-0.35465116279069769</v>
      </c>
      <c r="S60" s="104">
        <v>-0.29032258064516131</v>
      </c>
      <c r="T60" s="104">
        <v>-0.3032258064516129</v>
      </c>
      <c r="U60" s="104"/>
      <c r="V60" s="103">
        <v>-0.31578947368421051</v>
      </c>
    </row>
    <row r="61" spans="1:22" s="79" customFormat="1" ht="10.9" customHeight="1" thickBot="1" x14ac:dyDescent="0.3">
      <c r="A61" s="77" t="s">
        <v>117</v>
      </c>
      <c r="B61" s="95">
        <v>1</v>
      </c>
      <c r="C61" s="91">
        <v>1</v>
      </c>
      <c r="D61" s="91">
        <v>1</v>
      </c>
      <c r="E61" s="91">
        <v>1</v>
      </c>
      <c r="F61" s="91">
        <v>1</v>
      </c>
      <c r="G61" s="95">
        <v>1</v>
      </c>
      <c r="H61" s="91">
        <v>1</v>
      </c>
      <c r="I61" s="91">
        <v>1</v>
      </c>
      <c r="J61" s="91">
        <v>1</v>
      </c>
      <c r="K61" s="91">
        <v>1</v>
      </c>
      <c r="L61" s="95">
        <v>1</v>
      </c>
      <c r="M61" s="91">
        <v>1</v>
      </c>
      <c r="N61" s="91">
        <v>1</v>
      </c>
      <c r="O61" s="91">
        <v>1</v>
      </c>
      <c r="P61" s="91">
        <v>1</v>
      </c>
      <c r="Q61" s="95">
        <v>1</v>
      </c>
      <c r="R61" s="91">
        <v>1</v>
      </c>
      <c r="S61" s="91">
        <v>1</v>
      </c>
      <c r="T61" s="91">
        <v>1</v>
      </c>
      <c r="U61" s="91"/>
      <c r="V61" s="95">
        <v>1</v>
      </c>
    </row>
    <row r="62" spans="1:22" s="3" customFormat="1" ht="10.9" customHeight="1" x14ac:dyDescent="0.2">
      <c r="A62" s="16"/>
    </row>
    <row r="63" spans="1:22" s="3" customFormat="1" ht="10.9" customHeight="1" x14ac:dyDescent="0.2">
      <c r="A63" s="16"/>
    </row>
    <row r="64" spans="1:22" s="3" customFormat="1" ht="10.9" customHeight="1" x14ac:dyDescent="0.2">
      <c r="A64" s="16"/>
    </row>
    <row r="65" spans="1:1" s="3" customFormat="1" ht="10.9" customHeight="1" x14ac:dyDescent="0.2">
      <c r="A65" s="16"/>
    </row>
    <row r="66" spans="1:1" s="3" customFormat="1" ht="10.9" customHeight="1" x14ac:dyDescent="0.2">
      <c r="A66" s="16"/>
    </row>
  </sheetData>
  <mergeCells count="8">
    <mergeCell ref="C1:G1"/>
    <mergeCell ref="C3:F3"/>
    <mergeCell ref="R1:V1"/>
    <mergeCell ref="R3:U3"/>
    <mergeCell ref="M1:Q1"/>
    <mergeCell ref="M3:P3"/>
    <mergeCell ref="H1:L1"/>
    <mergeCell ref="H3:K3"/>
  </mergeCells>
  <phoneticPr fontId="5" type="noConversion"/>
  <printOptions horizontalCentered="1"/>
  <pageMargins left="0.25" right="0.25" top="0.75" bottom="0.75" header="0.3" footer="0.3"/>
  <pageSetup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About</vt:lpstr>
      <vt:lpstr>Income Statement</vt:lpstr>
      <vt:lpstr>Balance Sheet</vt:lpstr>
      <vt:lpstr>Cash Flows YTD</vt:lpstr>
      <vt:lpstr>Cash Flows QTD</vt:lpstr>
      <vt:lpstr>Key Metrics</vt:lpstr>
      <vt:lpstr>About!Print_Area</vt:lpstr>
      <vt:lpstr>'Balance Sheet'!Print_Area</vt:lpstr>
      <vt:lpstr>'Cash Flows QTD'!Print_Area</vt:lpstr>
      <vt:lpstr>'Cash Flows YTD'!Print_Area</vt:lpstr>
      <vt:lpstr>'Income Statement'!Print_Area</vt:lpstr>
      <vt:lpstr>'Key Metrics'!Print_Area</vt:lpstr>
    </vt:vector>
  </TitlesOfParts>
  <Company>Resideo Technologies,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Jason.Willey@resideo.com</dc:creator>
  <cp:lastModifiedBy>Willey, Jason</cp:lastModifiedBy>
  <cp:lastPrinted>2021-11-04T14:53:48Z</cp:lastPrinted>
  <dcterms:created xsi:type="dcterms:W3CDTF">2008-04-24T23:57:50Z</dcterms:created>
  <dcterms:modified xsi:type="dcterms:W3CDTF">2022-11-01T19:23:01Z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